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0" yWindow="1660" windowWidth="24360" windowHeight="13320" tabRatio="617" activeTab="0"/>
  </bookViews>
  <sheets>
    <sheet name="Instructions" sheetId="1" r:id="rId1"/>
    <sheet name="Olivine-liq thermometry" sheetId="2" r:id="rId2"/>
    <sheet name="Rhodes Diagram" sheetId="3" r:id="rId3"/>
    <sheet name="Rhodes Diag Calcs" sheetId="4" r:id="rId4"/>
    <sheet name="R&amp;E Chart" sheetId="5" r:id="rId5"/>
    <sheet name="RECalcs" sheetId="6" r:id="rId6"/>
    <sheet name="Mg# Worksheet" sheetId="7" r:id="rId7"/>
  </sheets>
  <definedNames/>
  <calcPr fullCalcOnLoad="1" iterate="1" iterateCount="100" iterateDelta="0.001"/>
</workbook>
</file>

<file path=xl/sharedStrings.xml><?xml version="1.0" encoding="utf-8"?>
<sst xmlns="http://schemas.openxmlformats.org/spreadsheetml/2006/main" count="488" uniqueCount="228">
  <si>
    <t xml:space="preserve">Copy these cells and paste into </t>
  </si>
  <si>
    <t>Rhodes Diagram Sheet</t>
  </si>
  <si>
    <t>Geothermometers based on olivine-liquid, or liquid composition only</t>
  </si>
  <si>
    <t>Gray field = input</t>
  </si>
  <si>
    <t>Blue field = output</t>
  </si>
  <si>
    <t>Total alkalis</t>
  </si>
  <si>
    <t>H2O in liq</t>
  </si>
  <si>
    <t>P/T</t>
  </si>
  <si>
    <t>A1</t>
  </si>
  <si>
    <t>B1</t>
  </si>
  <si>
    <t>A2</t>
  </si>
  <si>
    <t>Fo</t>
  </si>
  <si>
    <t>H&amp;O corr</t>
  </si>
  <si>
    <t>Putirka et al.</t>
  </si>
  <si>
    <t>Their Eqn. (2)</t>
  </si>
  <si>
    <t>Beattie (1993) liquid components</t>
  </si>
  <si>
    <t>Eqn 22 in RiMG T(C )</t>
  </si>
  <si>
    <r>
      <t>K</t>
    </r>
    <r>
      <rPr>
        <b/>
        <vertAlign val="subscript"/>
        <sz val="11"/>
        <color indexed="8"/>
        <rFont val="Verdana"/>
        <family val="0"/>
      </rPr>
      <t>D</t>
    </r>
    <r>
      <rPr>
        <b/>
        <sz val="11"/>
        <color indexed="8"/>
        <rFont val="Verdana"/>
        <family val="0"/>
      </rPr>
      <t>(Fe-Mg)</t>
    </r>
  </si>
  <si>
    <t>CALCULATE ISOTHERMS (Temperatures in Row 36)</t>
  </si>
  <si>
    <t>(See R&amp;E Chart for Results)</t>
  </si>
  <si>
    <t>Fe liq</t>
  </si>
  <si>
    <t>Mg liq</t>
  </si>
  <si>
    <t>CALCUALTE FORSTERITE ISOPLETHS</t>
  </si>
  <si>
    <t>INPUT FOR GRAPHICAL THERMOMETER</t>
  </si>
  <si>
    <t>Liquid Composition</t>
  </si>
  <si>
    <r>
      <t>Al</t>
    </r>
    <r>
      <rPr>
        <vertAlign val="subscript"/>
        <sz val="12"/>
        <rFont val="Verdana"/>
        <family val="0"/>
      </rPr>
      <t>2</t>
    </r>
    <r>
      <rPr>
        <sz val="12"/>
        <rFont val="Verdana"/>
        <family val="0"/>
      </rPr>
      <t>O</t>
    </r>
    <r>
      <rPr>
        <vertAlign val="subscript"/>
        <sz val="12"/>
        <rFont val="Verdana"/>
        <family val="0"/>
      </rPr>
      <t>3</t>
    </r>
    <r>
      <rPr>
        <sz val="12"/>
        <rFont val="Verdana"/>
        <family val="0"/>
      </rPr>
      <t xml:space="preserve"> (wt. %)</t>
    </r>
  </si>
  <si>
    <r>
      <t>Na</t>
    </r>
    <r>
      <rPr>
        <vertAlign val="subscript"/>
        <sz val="12"/>
        <rFont val="Verdana"/>
        <family val="0"/>
      </rPr>
      <t>2</t>
    </r>
    <r>
      <rPr>
        <sz val="12"/>
        <rFont val="Verdana"/>
        <family val="0"/>
      </rPr>
      <t>O + K</t>
    </r>
    <r>
      <rPr>
        <vertAlign val="subscript"/>
        <sz val="12"/>
        <rFont val="Verdana"/>
        <family val="0"/>
      </rPr>
      <t>2</t>
    </r>
    <r>
      <rPr>
        <sz val="12"/>
        <rFont val="Verdana"/>
        <family val="0"/>
      </rPr>
      <t>O (wt. %)</t>
    </r>
  </si>
  <si>
    <r>
      <t>H</t>
    </r>
    <r>
      <rPr>
        <vertAlign val="subscript"/>
        <sz val="12"/>
        <rFont val="Verdana"/>
        <family val="0"/>
      </rPr>
      <t>2</t>
    </r>
    <r>
      <rPr>
        <sz val="12"/>
        <rFont val="Verdana"/>
        <family val="0"/>
      </rPr>
      <t>O (wt. %)</t>
    </r>
  </si>
  <si>
    <t>Pressure of Equilibration</t>
  </si>
  <si>
    <t>P(kbar)</t>
  </si>
  <si>
    <t>Based on approach of Roeder and Emslie (1970), using models from Putirka et al. (2007)</t>
  </si>
  <si>
    <t>Graphical Olivine-Liquid Thermometer</t>
  </si>
  <si>
    <t>Leave Blank</t>
  </si>
  <si>
    <t>Enter</t>
  </si>
  <si>
    <t>Appropriate</t>
  </si>
  <si>
    <t>Enter Liquid Composition Here</t>
  </si>
  <si>
    <t>Enter Olivine Composition Here</t>
  </si>
  <si>
    <t>Experimental Compositions given  as examples</t>
  </si>
  <si>
    <t>Si</t>
  </si>
  <si>
    <t>F (fract resid liq)</t>
  </si>
  <si>
    <t>Cl</t>
  </si>
  <si>
    <t>mol</t>
  </si>
  <si>
    <t>FeO</t>
  </si>
  <si>
    <t>wts</t>
  </si>
  <si>
    <t>MgO</t>
  </si>
  <si>
    <t>100 X</t>
  </si>
  <si>
    <r>
      <t>Select Value for K</t>
    </r>
    <r>
      <rPr>
        <b/>
        <vertAlign val="subscript"/>
        <sz val="14"/>
        <rFont val="Verdana"/>
        <family val="0"/>
      </rPr>
      <t>D</t>
    </r>
    <r>
      <rPr>
        <b/>
        <sz val="14"/>
        <rFont val="Verdana"/>
        <family val="0"/>
      </rPr>
      <t>(Fe-Mg)ol-liq</t>
    </r>
  </si>
  <si>
    <t>Cation Fraction</t>
  </si>
  <si>
    <t>Kd</t>
  </si>
  <si>
    <t>Mg/Fe ol</t>
  </si>
  <si>
    <t>Mg/Fe liq</t>
  </si>
  <si>
    <t>Mg# liq</t>
  </si>
  <si>
    <t>Mg# ol</t>
  </si>
  <si>
    <t>MgO liq mol/wt ratio</t>
  </si>
  <si>
    <t>Mg</t>
  </si>
  <si>
    <t>Fe</t>
  </si>
  <si>
    <t>Select Value for KD(Fe-Mg)ol-liq</t>
  </si>
  <si>
    <t>Anhydrous</t>
  </si>
  <si>
    <t>Mg/Fe in olivine</t>
  </si>
  <si>
    <t>3) OUTPUT for Olivine-Liquid equilibrium temperatures are in BLUE columns AU - AX</t>
  </si>
  <si>
    <t>2) OUTPUT for Liquid only thermometer results are in BLUE columns, U - Z</t>
  </si>
  <si>
    <t>LIQUID mole proportions</t>
  </si>
  <si>
    <t>LIQUID mole fractions</t>
  </si>
  <si>
    <t>Data Source</t>
  </si>
  <si>
    <t>Experiment #</t>
  </si>
  <si>
    <t>P (GPa)</t>
  </si>
  <si>
    <t>T (C)</t>
  </si>
  <si>
    <t>Index</t>
  </si>
  <si>
    <t>SiO2</t>
  </si>
  <si>
    <t>TiO2</t>
  </si>
  <si>
    <t>Al2O3</t>
  </si>
  <si>
    <t>FeOt</t>
  </si>
  <si>
    <t>MnO</t>
  </si>
  <si>
    <t>CaO</t>
  </si>
  <si>
    <t>Na2O</t>
  </si>
  <si>
    <t>K2O</t>
  </si>
  <si>
    <t>Cr2O3</t>
  </si>
  <si>
    <t>P2O5</t>
  </si>
  <si>
    <t>H2O</t>
  </si>
  <si>
    <t>Total</t>
  </si>
  <si>
    <t>Putirka RiMG '08</t>
  </si>
  <si>
    <t>Mg-thermometer</t>
  </si>
  <si>
    <t>Ca-thermometer</t>
  </si>
  <si>
    <t>Fo</t>
  </si>
  <si>
    <t>D(Mg)</t>
  </si>
  <si>
    <t xml:space="preserve">D(Mg) </t>
  </si>
  <si>
    <t>T(C )</t>
  </si>
  <si>
    <t>Phases</t>
  </si>
  <si>
    <t>XSiO2</t>
  </si>
  <si>
    <t>XTiO2</t>
  </si>
  <si>
    <t>XAlO3/2</t>
  </si>
  <si>
    <t>XFeO</t>
  </si>
  <si>
    <t>XMnO</t>
  </si>
  <si>
    <t>XMgO</t>
  </si>
  <si>
    <t>XCaO</t>
  </si>
  <si>
    <t>XNaO0.5</t>
  </si>
  <si>
    <t>XKO0.5</t>
  </si>
  <si>
    <t>total</t>
  </si>
  <si>
    <t>CNML</t>
  </si>
  <si>
    <t>CSiO2L</t>
  </si>
  <si>
    <t>NF</t>
  </si>
  <si>
    <t>Numerator</t>
  </si>
  <si>
    <t>denom</t>
  </si>
  <si>
    <t>T(K)</t>
  </si>
  <si>
    <t>P(Gpa)</t>
  </si>
  <si>
    <t>NF</t>
  </si>
  <si>
    <t>Select Value for error bounds</t>
  </si>
  <si>
    <t>Equilibrium minus 1 sigma</t>
  </si>
  <si>
    <t>Equilibrium plus 1 sigma</t>
  </si>
  <si>
    <t>Mg/Fe-ol</t>
  </si>
  <si>
    <t>Mg/Fe-liq</t>
  </si>
  <si>
    <t>Mg#liq - 0.3</t>
  </si>
  <si>
    <t>Mg#ol - 0.3</t>
  </si>
  <si>
    <t>KD(Fe-Mg)</t>
  </si>
  <si>
    <t>The Rhodes Diagram - Test for Ol-liq Equilibrium</t>
  </si>
  <si>
    <t>Helz &amp;</t>
  </si>
  <si>
    <t>Beattie (1993)</t>
  </si>
  <si>
    <t>Putirka et al. 2007</t>
  </si>
  <si>
    <t>4) Tests for ol-liq equilibrium utilize calculations in columns AO - AR and the Rhodes Diagram Sheet</t>
  </si>
  <si>
    <t>Thornber '87</t>
  </si>
  <si>
    <t>Olivine Compositions - in Weight Percent</t>
  </si>
  <si>
    <t>Liquid</t>
  </si>
  <si>
    <t>Olivine</t>
  </si>
  <si>
    <t>Measured</t>
  </si>
  <si>
    <t>calculated</t>
  </si>
  <si>
    <t>w/ Herz corr</t>
  </si>
  <si>
    <t>Their Eqn. 4</t>
  </si>
  <si>
    <t>Sisson &amp; Grove</t>
  </si>
  <si>
    <t>LIQUID cation proportions</t>
  </si>
  <si>
    <t>LIQUID cation fractions</t>
  </si>
  <si>
    <t>OLIVINE cation proportions</t>
  </si>
  <si>
    <t>OLIVINE cation fractions</t>
  </si>
  <si>
    <t>Beattie</t>
  </si>
  <si>
    <t>Meas</t>
  </si>
  <si>
    <t>Eqn. 21 in RiMG T(C )</t>
  </si>
  <si>
    <t>(1992) Eqn. 2 T(C )</t>
  </si>
  <si>
    <t>Eqn 21</t>
  </si>
  <si>
    <t>Kd(Mg)</t>
  </si>
  <si>
    <t>Sisson and Grove Eqn. 2</t>
  </si>
  <si>
    <t>T(oC) meas</t>
  </si>
  <si>
    <t>XAl2O3</t>
  </si>
  <si>
    <t>XNa2O</t>
  </si>
  <si>
    <t>XK2O</t>
  </si>
  <si>
    <t>Kinzler, R.J., Grove, T.L. (1992)</t>
  </si>
  <si>
    <t>H195</t>
  </si>
  <si>
    <t>liq+ol+cpx</t>
  </si>
  <si>
    <t>H176</t>
  </si>
  <si>
    <t>liq+ol+cpx+opx</t>
  </si>
  <si>
    <t>H199</t>
  </si>
  <si>
    <t>liq+ol+cpx+opx+spn</t>
  </si>
  <si>
    <t>H200</t>
  </si>
  <si>
    <t>H25.3</t>
  </si>
  <si>
    <t>liq+ol+opx</t>
  </si>
  <si>
    <t>H193</t>
  </si>
  <si>
    <t>H179</t>
  </si>
  <si>
    <t>H181</t>
  </si>
  <si>
    <t>liq+plag+ol+cpx+opx+spn</t>
  </si>
  <si>
    <t>H154</t>
  </si>
  <si>
    <t>H156</t>
  </si>
  <si>
    <t>100*Mg#</t>
  </si>
  <si>
    <t>LEPR</t>
  </si>
  <si>
    <t>Liquid (Glass) Composition - in Weight Percent</t>
  </si>
  <si>
    <t>Equation (13)</t>
  </si>
  <si>
    <t>Equation (14)</t>
  </si>
  <si>
    <t>Equation (15)</t>
  </si>
  <si>
    <t>Equation (16)</t>
  </si>
  <si>
    <t>Value for P(GPa)</t>
  </si>
  <si>
    <t>dT/dP (K/kbar) (derived from Cell C31)</t>
  </si>
  <si>
    <t>Select weight % FeO in liquid</t>
  </si>
  <si>
    <t>MgO % in Liquid</t>
  </si>
  <si>
    <t>Fo in olivine</t>
  </si>
  <si>
    <r>
      <t>Calculate Mg#'s for K</t>
    </r>
    <r>
      <rPr>
        <b/>
        <vertAlign val="subscript"/>
        <sz val="12"/>
        <rFont val="Verdana"/>
        <family val="0"/>
      </rPr>
      <t>D</t>
    </r>
    <r>
      <rPr>
        <b/>
        <sz val="12"/>
        <rFont val="Verdana"/>
        <family val="0"/>
      </rPr>
      <t>(Fe-Mg) = 0.30</t>
    </r>
  </si>
  <si>
    <t>B2</t>
  </si>
  <si>
    <t>Kd(Mg)</t>
  </si>
  <si>
    <t>Kd(Fe)</t>
  </si>
  <si>
    <t>C(MgO)</t>
  </si>
  <si>
    <t>C(FeO)</t>
  </si>
  <si>
    <t>D(Mg)</t>
  </si>
  <si>
    <t>Beatttie</t>
  </si>
  <si>
    <t>Beattie 1 atm</t>
  </si>
  <si>
    <t>MgO wt</t>
  </si>
  <si>
    <t>1) INPUT required in GRAY columns (C, G - R, and AB - AM)</t>
  </si>
  <si>
    <t>Calcualte Equilibrium Olivine composition</t>
  </si>
  <si>
    <t>Olivine weight %'s</t>
  </si>
  <si>
    <t>Fe/Mg</t>
  </si>
  <si>
    <t>Mg</t>
  </si>
  <si>
    <t>Fe</t>
  </si>
  <si>
    <t>Si</t>
  </si>
  <si>
    <t>FeO wt</t>
  </si>
  <si>
    <t>SiO2</t>
  </si>
  <si>
    <t>MgO</t>
  </si>
  <si>
    <t>FeO</t>
  </si>
  <si>
    <t>Mg/Fe wt ratio</t>
  </si>
  <si>
    <t>Equilibirum crystallization</t>
  </si>
  <si>
    <t>Fractional Crystallizaiton</t>
  </si>
  <si>
    <t>Co</t>
  </si>
  <si>
    <t>ClNM</t>
  </si>
  <si>
    <t>CSiO2</t>
  </si>
  <si>
    <t>coeff for lnKd(Mg)</t>
  </si>
  <si>
    <t>coeff for lnKd(Fe)</t>
  </si>
  <si>
    <t>Intercept</t>
  </si>
  <si>
    <t>Al2O3 liq</t>
  </si>
  <si>
    <t>1/T(C)</t>
  </si>
  <si>
    <t>Enter weight fraction of FeO (WFFeO)</t>
  </si>
  <si>
    <t>(If FeOt = FeO, then WFFeO = 1; if FeOt ≠ FeO, WFFeO&lt;1; see Instructions)</t>
  </si>
  <si>
    <t>(into columns G - R)</t>
  </si>
  <si>
    <t>WFFeO</t>
  </si>
  <si>
    <r>
      <t xml:space="preserve">Temperature olivine-liquid equilibration </t>
    </r>
    <r>
      <rPr>
        <i/>
        <sz val="12"/>
        <rFont val="Verdana"/>
        <family val="0"/>
      </rPr>
      <t>T</t>
    </r>
    <r>
      <rPr>
        <vertAlign val="superscript"/>
        <sz val="12"/>
        <rFont val="Verdana"/>
        <family val="0"/>
      </rPr>
      <t>ol-liq</t>
    </r>
    <r>
      <rPr>
        <sz val="12"/>
        <rFont val="Verdana"/>
        <family val="0"/>
      </rPr>
      <t>(</t>
    </r>
    <r>
      <rPr>
        <vertAlign val="superscript"/>
        <sz val="12"/>
        <rFont val="Verdana"/>
        <family val="0"/>
      </rPr>
      <t>o</t>
    </r>
    <r>
      <rPr>
        <sz val="12"/>
        <rFont val="Verdana"/>
        <family val="0"/>
      </rPr>
      <t>C)</t>
    </r>
  </si>
  <si>
    <r>
      <t xml:space="preserve">Mantle Potential Temperature </t>
    </r>
    <r>
      <rPr>
        <i/>
        <sz val="12"/>
        <rFont val="Verdana"/>
        <family val="0"/>
      </rPr>
      <t>T</t>
    </r>
    <r>
      <rPr>
        <vertAlign val="subscript"/>
        <sz val="12"/>
        <rFont val="Verdana"/>
        <family val="0"/>
      </rPr>
      <t>p</t>
    </r>
    <r>
      <rPr>
        <sz val="12"/>
        <rFont val="Verdana"/>
        <family val="0"/>
      </rPr>
      <t>(</t>
    </r>
    <r>
      <rPr>
        <vertAlign val="superscript"/>
        <sz val="12"/>
        <rFont val="Verdana"/>
        <family val="0"/>
      </rPr>
      <t>o</t>
    </r>
    <r>
      <rPr>
        <sz val="12"/>
        <rFont val="Verdana"/>
        <family val="0"/>
      </rPr>
      <t>C)</t>
    </r>
  </si>
  <si>
    <r>
      <t xml:space="preserve">Other Adjustable Parameters (for calculating </t>
    </r>
    <r>
      <rPr>
        <i/>
        <sz val="12"/>
        <rFont val="Verdana"/>
        <family val="0"/>
      </rPr>
      <t>T</t>
    </r>
    <r>
      <rPr>
        <vertAlign val="subscript"/>
        <sz val="12"/>
        <rFont val="Verdana"/>
        <family val="0"/>
      </rPr>
      <t>p</t>
    </r>
    <r>
      <rPr>
        <sz val="12"/>
        <rFont val="Verdana"/>
        <family val="0"/>
      </rPr>
      <t>)</t>
    </r>
  </si>
  <si>
    <t>Sources for some thermodynamic parameters</t>
  </si>
  <si>
    <t>Temperature (K)</t>
  </si>
  <si>
    <t>Heat of fusion (perdiotite) (kJ/mole)</t>
  </si>
  <si>
    <t>Heat Capacity (peridotite) (J/mole*K)</t>
  </si>
  <si>
    <t>Molar volume (of olivine) (J/bar)</t>
  </si>
  <si>
    <t>Coefficient of thermal expansion (K)</t>
  </si>
  <si>
    <t>dT/dP (K/bar)</t>
  </si>
  <si>
    <r>
      <t>T</t>
    </r>
    <r>
      <rPr>
        <sz val="12"/>
        <rFont val="Verdana"/>
        <family val="0"/>
      </rPr>
      <t>(</t>
    </r>
    <r>
      <rPr>
        <vertAlign val="superscript"/>
        <sz val="12"/>
        <rFont val="Verdana"/>
        <family val="0"/>
      </rPr>
      <t>o</t>
    </r>
    <r>
      <rPr>
        <sz val="12"/>
        <rFont val="Verdana"/>
        <family val="0"/>
      </rPr>
      <t>C)</t>
    </r>
  </si>
  <si>
    <r>
      <t>K</t>
    </r>
    <r>
      <rPr>
        <vertAlign val="subscript"/>
        <sz val="12"/>
        <rFont val="Verdana"/>
        <family val="0"/>
      </rPr>
      <t>D</t>
    </r>
    <r>
      <rPr>
        <sz val="12"/>
        <rFont val="Verdana"/>
        <family val="0"/>
      </rPr>
      <t>(Fe-Mg)</t>
    </r>
    <r>
      <rPr>
        <vertAlign val="superscript"/>
        <sz val="12"/>
        <rFont val="Verdana"/>
        <family val="0"/>
      </rPr>
      <t>ol-liq</t>
    </r>
  </si>
  <si>
    <t>Model Parameters for isotherms</t>
  </si>
  <si>
    <t>(Richet, 1993, GRL v 20, 1675-1678; Richet and Bottinga 1996)</t>
  </si>
  <si>
    <t>(at 1700-1800 K; ,Robie and Hemingway,199; USGS Bull. 2131)</t>
  </si>
  <si>
    <t>Input to Calculate Mantle Potential Temperature</t>
  </si>
  <si>
    <t>Pressure of olivine-liquid equilibration (kbar)</t>
  </si>
  <si>
    <t>Output</t>
  </si>
  <si>
    <t>Melt Fraction</t>
  </si>
  <si>
    <t>Net T Increase due to partial fusion</t>
  </si>
  <si>
    <t>Calcualte equilibrium liquid composition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</si>
</sst>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4">
    <font>
      <sz val="12"/>
      <name val="Verdana"/>
      <family val="0"/>
    </font>
    <font>
      <b/>
      <sz val="12"/>
      <name val="Verdana"/>
      <family val="0"/>
    </font>
    <font>
      <i/>
      <sz val="12"/>
      <name val="Verdana"/>
      <family val="0"/>
    </font>
    <font>
      <b/>
      <i/>
      <sz val="12"/>
      <name val="Verdana"/>
      <family val="0"/>
    </font>
    <font>
      <sz val="8"/>
      <name val="Verdana"/>
      <family val="0"/>
    </font>
    <font>
      <b/>
      <sz val="14"/>
      <name val="Verdana"/>
      <family val="0"/>
    </font>
    <font>
      <u val="single"/>
      <sz val="12"/>
      <color indexed="12"/>
      <name val="Verdana"/>
      <family val="0"/>
    </font>
    <font>
      <u val="single"/>
      <sz val="12"/>
      <color indexed="36"/>
      <name val="Verdana"/>
      <family val="0"/>
    </font>
    <font>
      <sz val="14"/>
      <name val="Verdana"/>
      <family val="0"/>
    </font>
    <font>
      <b/>
      <sz val="18"/>
      <name val="Geneva"/>
      <family val="0"/>
    </font>
    <font>
      <b/>
      <sz val="18"/>
      <color indexed="8"/>
      <name val="Verdana"/>
      <family val="0"/>
    </font>
    <font>
      <sz val="10"/>
      <color indexed="8"/>
      <name val="Verdana"/>
      <family val="0"/>
    </font>
    <font>
      <sz val="18"/>
      <color indexed="8"/>
      <name val="Verdana"/>
      <family val="0"/>
    </font>
    <font>
      <sz val="14"/>
      <color indexed="8"/>
      <name val="Verdana"/>
      <family val="0"/>
    </font>
    <font>
      <b/>
      <sz val="12"/>
      <color indexed="8"/>
      <name val="Verdana"/>
      <family val="0"/>
    </font>
    <font>
      <sz val="11"/>
      <color indexed="8"/>
      <name val="Verdana"/>
      <family val="0"/>
    </font>
    <font>
      <b/>
      <sz val="11"/>
      <color indexed="8"/>
      <name val="Verdana"/>
      <family val="0"/>
    </font>
    <font>
      <b/>
      <sz val="11"/>
      <name val="Verdana"/>
      <family val="0"/>
    </font>
    <font>
      <b/>
      <sz val="16"/>
      <name val="Verdana"/>
      <family val="0"/>
    </font>
    <font>
      <sz val="8.75"/>
      <color indexed="8"/>
      <name val="Verdana"/>
      <family val="0"/>
    </font>
    <font>
      <sz val="12"/>
      <color indexed="8"/>
      <name val="Verdana"/>
      <family val="0"/>
    </font>
    <font>
      <b/>
      <sz val="10"/>
      <name val="Geneva"/>
      <family val="0"/>
    </font>
    <font>
      <sz val="10"/>
      <name val="Geneva"/>
      <family val="0"/>
    </font>
    <font>
      <vertAlign val="subscript"/>
      <sz val="12"/>
      <name val="Verdana"/>
      <family val="0"/>
    </font>
    <font>
      <u val="single"/>
      <sz val="12"/>
      <name val="Verdana"/>
      <family val="0"/>
    </font>
    <font>
      <vertAlign val="superscript"/>
      <sz val="12"/>
      <name val="Verdana"/>
      <family val="0"/>
    </font>
    <font>
      <b/>
      <sz val="12"/>
      <name val="Geneva"/>
      <family val="0"/>
    </font>
    <font>
      <sz val="12"/>
      <name val="Geneva"/>
      <family val="0"/>
    </font>
    <font>
      <b/>
      <sz val="10"/>
      <color indexed="8"/>
      <name val="Verdana"/>
      <family val="0"/>
    </font>
    <font>
      <b/>
      <vertAlign val="subscript"/>
      <sz val="11"/>
      <color indexed="8"/>
      <name val="Verdana"/>
      <family val="0"/>
    </font>
    <font>
      <b/>
      <sz val="20"/>
      <color indexed="8"/>
      <name val="Verdana"/>
      <family val="0"/>
    </font>
    <font>
      <b/>
      <vertAlign val="subscript"/>
      <sz val="20"/>
      <color indexed="8"/>
      <name val="Verdana"/>
      <family val="0"/>
    </font>
    <font>
      <sz val="12"/>
      <color indexed="23"/>
      <name val="Verdana"/>
      <family val="0"/>
    </font>
    <font>
      <vertAlign val="superscript"/>
      <sz val="12"/>
      <color indexed="23"/>
      <name val="Verdana"/>
      <family val="0"/>
    </font>
    <font>
      <b/>
      <u val="single"/>
      <sz val="12"/>
      <name val="Verdana"/>
      <family val="0"/>
    </font>
    <font>
      <b/>
      <vertAlign val="subscript"/>
      <sz val="12"/>
      <name val="Verdana"/>
      <family val="0"/>
    </font>
    <font>
      <b/>
      <vertAlign val="subscript"/>
      <sz val="14"/>
      <name val="Verdana"/>
      <family val="0"/>
    </font>
    <font>
      <b/>
      <i/>
      <sz val="16"/>
      <color indexed="8"/>
      <name val="Calibri"/>
      <family val="0"/>
    </font>
    <font>
      <sz val="11"/>
      <color indexed="8"/>
      <name val="Calibri"/>
      <family val="0"/>
    </font>
    <font>
      <sz val="12"/>
      <color indexed="8"/>
      <name val="Calibri"/>
      <family val="0"/>
    </font>
    <font>
      <u val="single"/>
      <sz val="12"/>
      <color indexed="8"/>
      <name val="Calibri"/>
      <family val="0"/>
    </font>
    <font>
      <i/>
      <sz val="12"/>
      <color indexed="8"/>
      <name val="Calibri"/>
      <family val="0"/>
    </font>
    <font>
      <vertAlign val="subscript"/>
      <sz val="12"/>
      <color indexed="8"/>
      <name val="Calibri"/>
      <family val="0"/>
    </font>
    <font>
      <vertAlign val="superscript"/>
      <sz val="12"/>
      <color indexed="8"/>
      <name val="Calibri"/>
      <family val="0"/>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2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indexed="56"/>
      </top>
      <bottom>
        <color indexed="63"/>
      </bottom>
    </border>
    <border>
      <left>
        <color indexed="63"/>
      </left>
      <right>
        <color indexed="63"/>
      </right>
      <top style="thin">
        <color indexed="10"/>
      </top>
      <bottom>
        <color indexed="63"/>
      </bottom>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Alignment="1">
      <alignment/>
    </xf>
    <xf numFmtId="0" fontId="5" fillId="0" borderId="0" xfId="0" applyFont="1" applyAlignment="1">
      <alignment/>
    </xf>
    <xf numFmtId="0" fontId="5"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6" xfId="0" applyFont="1" applyBorder="1" applyAlignment="1">
      <alignment/>
    </xf>
    <xf numFmtId="0" fontId="5" fillId="0" borderId="4" xfId="0" applyFont="1" applyBorder="1" applyAlignment="1">
      <alignment/>
    </xf>
    <xf numFmtId="0" fontId="8" fillId="0" borderId="0" xfId="0" applyFont="1" applyBorder="1" applyAlignment="1">
      <alignment/>
    </xf>
    <xf numFmtId="0" fontId="5" fillId="0" borderId="7"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Fill="1" applyAlignment="1">
      <alignment horizontal="center"/>
    </xf>
    <xf numFmtId="0" fontId="15" fillId="0" borderId="0" xfId="0"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6" fillId="2" borderId="0" xfId="0" applyFont="1" applyFill="1" applyAlignment="1">
      <alignment horizontal="center"/>
    </xf>
    <xf numFmtId="0" fontId="14" fillId="2" borderId="0" xfId="0" applyFont="1" applyFill="1" applyAlignment="1">
      <alignment horizontal="center"/>
    </xf>
    <xf numFmtId="0" fontId="16" fillId="0" borderId="0" xfId="0" applyFont="1" applyFill="1" applyAlignment="1">
      <alignment/>
    </xf>
    <xf numFmtId="0" fontId="16" fillId="0" borderId="0" xfId="0" applyFont="1" applyAlignment="1">
      <alignment/>
    </xf>
    <xf numFmtId="0" fontId="16" fillId="0" borderId="0" xfId="0" applyFont="1" applyAlignment="1">
      <alignment horizontal="left"/>
    </xf>
    <xf numFmtId="0" fontId="16" fillId="0" borderId="0" xfId="0" applyFont="1" applyAlignment="1">
      <alignment horizontal="center"/>
    </xf>
    <xf numFmtId="0" fontId="16" fillId="3" borderId="0" xfId="0" applyFont="1" applyFill="1" applyAlignment="1">
      <alignment horizontal="left"/>
    </xf>
    <xf numFmtId="0" fontId="15" fillId="3" borderId="0" xfId="0" applyFont="1" applyFill="1" applyAlignment="1">
      <alignment/>
    </xf>
    <xf numFmtId="0" fontId="17" fillId="2" borderId="0" xfId="0" applyFont="1" applyFill="1" applyAlignment="1">
      <alignment horizontal="center"/>
    </xf>
    <xf numFmtId="0" fontId="16" fillId="3" borderId="5" xfId="0" applyFont="1" applyFill="1" applyBorder="1" applyAlignment="1">
      <alignment horizontal="center"/>
    </xf>
    <xf numFmtId="0" fontId="14" fillId="0" borderId="0" xfId="0" applyFont="1" applyFill="1" applyAlignment="1">
      <alignment horizontal="left"/>
    </xf>
    <xf numFmtId="0" fontId="11" fillId="3" borderId="0" xfId="0" applyFont="1" applyFill="1" applyAlignment="1">
      <alignment/>
    </xf>
    <xf numFmtId="164" fontId="11" fillId="2" borderId="0" xfId="0" applyNumberFormat="1" applyFont="1" applyFill="1" applyAlignment="1">
      <alignment horizontal="center"/>
    </xf>
    <xf numFmtId="2" fontId="11" fillId="2" borderId="0" xfId="0" applyNumberFormat="1" applyFont="1" applyFill="1" applyAlignment="1">
      <alignment horizontal="center"/>
    </xf>
    <xf numFmtId="165" fontId="11" fillId="2" borderId="0" xfId="0" applyNumberFormat="1" applyFont="1" applyFill="1" applyAlignment="1">
      <alignment horizontal="center"/>
    </xf>
    <xf numFmtId="1" fontId="11" fillId="2" borderId="0" xfId="0" applyNumberFormat="1" applyFont="1" applyFill="1" applyAlignment="1">
      <alignment horizontal="center"/>
    </xf>
    <xf numFmtId="0" fontId="16" fillId="0" borderId="0" xfId="0" applyFont="1" applyFill="1" applyAlignment="1">
      <alignment horizontal="center"/>
    </xf>
    <xf numFmtId="2" fontId="11" fillId="0" borderId="0" xfId="0" applyNumberFormat="1" applyFont="1" applyFill="1" applyAlignment="1">
      <alignment horizontal="center"/>
    </xf>
    <xf numFmtId="0" fontId="11" fillId="3" borderId="0" xfId="0" applyFont="1" applyFill="1" applyAlignment="1">
      <alignment horizontal="center"/>
    </xf>
    <xf numFmtId="0" fontId="11" fillId="0" borderId="3" xfId="0" applyFont="1" applyFill="1" applyBorder="1" applyAlignment="1">
      <alignment horizontal="center"/>
    </xf>
    <xf numFmtId="0" fontId="11" fillId="0" borderId="8" xfId="0" applyFont="1" applyFill="1" applyBorder="1" applyAlignment="1">
      <alignment horizontal="center"/>
    </xf>
    <xf numFmtId="0" fontId="15" fillId="0" borderId="6" xfId="0" applyFont="1" applyFill="1" applyBorder="1" applyAlignment="1">
      <alignment horizontal="center"/>
    </xf>
    <xf numFmtId="0" fontId="11" fillId="0" borderId="9" xfId="0" applyFont="1" applyFill="1" applyBorder="1" applyAlignment="1">
      <alignment/>
    </xf>
    <xf numFmtId="0" fontId="11" fillId="0" borderId="10" xfId="0" applyFont="1" applyFill="1" applyBorder="1" applyAlignment="1">
      <alignment/>
    </xf>
    <xf numFmtId="0" fontId="18" fillId="0" borderId="0" xfId="0" applyFont="1" applyAlignment="1">
      <alignment/>
    </xf>
    <xf numFmtId="0" fontId="0" fillId="0" borderId="0" xfId="0" applyFont="1" applyAlignment="1">
      <alignment/>
    </xf>
    <xf numFmtId="0" fontId="16" fillId="2" borderId="5" xfId="0" applyFont="1" applyFill="1" applyBorder="1" applyAlignment="1">
      <alignment horizontal="center"/>
    </xf>
    <xf numFmtId="0" fontId="15" fillId="0" borderId="1" xfId="0" applyFont="1" applyFill="1" applyBorder="1" applyAlignment="1">
      <alignment/>
    </xf>
    <xf numFmtId="0" fontId="15" fillId="0" borderId="2" xfId="0" applyFont="1" applyFill="1" applyBorder="1" applyAlignment="1">
      <alignment/>
    </xf>
    <xf numFmtId="0" fontId="15" fillId="0" borderId="3" xfId="0" applyFont="1" applyFill="1" applyBorder="1" applyAlignment="1">
      <alignment/>
    </xf>
    <xf numFmtId="0" fontId="16" fillId="0" borderId="4" xfId="0" applyFont="1" applyFill="1" applyBorder="1" applyAlignment="1">
      <alignment/>
    </xf>
    <xf numFmtId="0" fontId="16" fillId="0" borderId="5" xfId="0" applyFont="1" applyFill="1" applyBorder="1" applyAlignment="1">
      <alignment/>
    </xf>
    <xf numFmtId="0" fontId="16" fillId="0" borderId="6" xfId="0" applyFont="1" applyFill="1" applyBorder="1" applyAlignment="1">
      <alignment/>
    </xf>
    <xf numFmtId="0" fontId="0" fillId="0" borderId="11" xfId="0" applyBorder="1" applyAlignment="1">
      <alignment/>
    </xf>
    <xf numFmtId="0" fontId="0" fillId="0" borderId="0" xfId="0" applyBorder="1" applyAlignment="1">
      <alignment/>
    </xf>
    <xf numFmtId="0" fontId="0" fillId="0" borderId="8" xfId="0" applyBorder="1" applyAlignment="1">
      <alignment/>
    </xf>
    <xf numFmtId="0" fontId="22" fillId="0" borderId="11" xfId="0" applyFont="1" applyBorder="1" applyAlignment="1">
      <alignment/>
    </xf>
    <xf numFmtId="0" fontId="22" fillId="0" borderId="0" xfId="0" applyFont="1" applyBorder="1" applyAlignment="1">
      <alignment/>
    </xf>
    <xf numFmtId="0" fontId="22" fillId="0" borderId="8" xfId="0" applyFont="1" applyBorder="1" applyAlignment="1">
      <alignment/>
    </xf>
    <xf numFmtId="0" fontId="22" fillId="0" borderId="5" xfId="0" applyFont="1" applyBorder="1" applyAlignment="1">
      <alignment/>
    </xf>
    <xf numFmtId="0" fontId="22" fillId="0" borderId="6" xfId="0" applyFont="1" applyBorder="1" applyAlignment="1">
      <alignment/>
    </xf>
    <xf numFmtId="0" fontId="22" fillId="0" borderId="0" xfId="0" applyFont="1" applyAlignment="1">
      <alignment/>
    </xf>
    <xf numFmtId="0" fontId="21" fillId="0" borderId="5" xfId="0" applyFont="1" applyBorder="1" applyAlignment="1">
      <alignment/>
    </xf>
    <xf numFmtId="0" fontId="21" fillId="0" borderId="6" xfId="0" applyFont="1" applyBorder="1" applyAlignment="1">
      <alignment/>
    </xf>
    <xf numFmtId="0" fontId="21" fillId="0" borderId="0" xfId="0" applyFont="1" applyAlignment="1">
      <alignment/>
    </xf>
    <xf numFmtId="0" fontId="0" fillId="3" borderId="12" xfId="0" applyFill="1" applyBorder="1" applyAlignment="1">
      <alignment/>
    </xf>
    <xf numFmtId="0" fontId="0" fillId="0" borderId="13" xfId="0" applyBorder="1" applyAlignment="1">
      <alignment/>
    </xf>
    <xf numFmtId="0" fontId="0" fillId="0" borderId="14" xfId="0" applyBorder="1" applyAlignment="1">
      <alignment/>
    </xf>
    <xf numFmtId="0" fontId="24" fillId="0" borderId="13" xfId="0" applyFont="1" applyBorder="1" applyAlignment="1">
      <alignment/>
    </xf>
    <xf numFmtId="0" fontId="0" fillId="3" borderId="14" xfId="0" applyFill="1" applyBorder="1" applyAlignment="1">
      <alignment/>
    </xf>
    <xf numFmtId="0" fontId="0" fillId="0" borderId="15" xfId="0" applyBorder="1" applyAlignment="1">
      <alignment/>
    </xf>
    <xf numFmtId="0" fontId="0" fillId="3" borderId="16" xfId="0"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5" fillId="3" borderId="17" xfId="0" applyFont="1" applyFill="1" applyBorder="1" applyAlignment="1">
      <alignment/>
    </xf>
    <xf numFmtId="0" fontId="0" fillId="3" borderId="18" xfId="0" applyFont="1" applyFill="1" applyBorder="1" applyAlignment="1">
      <alignment/>
    </xf>
    <xf numFmtId="0" fontId="1" fillId="3" borderId="12" xfId="0" applyFont="1" applyFill="1" applyBorder="1" applyAlignment="1">
      <alignment/>
    </xf>
    <xf numFmtId="0" fontId="0" fillId="0" borderId="13" xfId="0" applyFont="1" applyBorder="1" applyAlignment="1">
      <alignment/>
    </xf>
    <xf numFmtId="0" fontId="0" fillId="3" borderId="14" xfId="0" applyFont="1" applyFill="1" applyBorder="1" applyAlignment="1">
      <alignment/>
    </xf>
    <xf numFmtId="0" fontId="0" fillId="0" borderId="15" xfId="0" applyFont="1" applyBorder="1" applyAlignment="1">
      <alignment/>
    </xf>
    <xf numFmtId="0" fontId="0" fillId="0" borderId="19" xfId="0" applyFont="1" applyBorder="1" applyAlignment="1">
      <alignment/>
    </xf>
    <xf numFmtId="0" fontId="0" fillId="3" borderId="16" xfId="0" applyFont="1" applyFill="1"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0" fillId="2" borderId="5" xfId="0" applyFont="1" applyFill="1" applyBorder="1" applyAlignment="1">
      <alignment/>
    </xf>
    <xf numFmtId="0" fontId="1" fillId="2" borderId="6" xfId="0" applyFont="1" applyFill="1" applyBorder="1" applyAlignment="1">
      <alignment/>
    </xf>
    <xf numFmtId="0" fontId="0" fillId="0" borderId="2" xfId="0" applyFont="1" applyBorder="1" applyAlignment="1">
      <alignment/>
    </xf>
    <xf numFmtId="0" fontId="0" fillId="0" borderId="3" xfId="0" applyFont="1" applyBorder="1" applyAlignment="1">
      <alignment/>
    </xf>
    <xf numFmtId="0" fontId="0" fillId="0" borderId="11" xfId="0" applyFont="1" applyBorder="1" applyAlignment="1">
      <alignment/>
    </xf>
    <xf numFmtId="0" fontId="0" fillId="0" borderId="1" xfId="0" applyFont="1" applyBorder="1" applyAlignment="1">
      <alignment/>
    </xf>
    <xf numFmtId="0" fontId="0" fillId="0" borderId="11" xfId="0" applyFont="1" applyFill="1" applyBorder="1" applyAlignment="1">
      <alignment/>
    </xf>
    <xf numFmtId="0" fontId="0" fillId="0" borderId="4" xfId="0" applyFont="1" applyFill="1" applyBorder="1" applyAlignment="1">
      <alignment/>
    </xf>
    <xf numFmtId="0" fontId="0" fillId="0" borderId="6" xfId="0" applyFont="1" applyBorder="1" applyAlignment="1">
      <alignment/>
    </xf>
    <xf numFmtId="0" fontId="2" fillId="0" borderId="0" xfId="0" applyFont="1" applyAlignment="1">
      <alignment horizontal="center"/>
    </xf>
    <xf numFmtId="0" fontId="26" fillId="0" borderId="2" xfId="0" applyFont="1" applyBorder="1" applyAlignment="1">
      <alignment horizontal="center"/>
    </xf>
    <xf numFmtId="0" fontId="27" fillId="0" borderId="3" xfId="0" applyFont="1" applyBorder="1" applyAlignment="1">
      <alignment/>
    </xf>
    <xf numFmtId="0" fontId="27"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26" fillId="0" borderId="2" xfId="0" applyFont="1" applyBorder="1" applyAlignment="1">
      <alignment/>
    </xf>
    <xf numFmtId="0" fontId="0" fillId="0" borderId="0" xfId="0" applyFont="1" applyAlignment="1">
      <alignment/>
    </xf>
    <xf numFmtId="0" fontId="26" fillId="0" borderId="20" xfId="0" applyFont="1" applyFill="1" applyBorder="1" applyAlignment="1">
      <alignment/>
    </xf>
    <xf numFmtId="0" fontId="26" fillId="0" borderId="21" xfId="0" applyFont="1" applyFill="1" applyBorder="1" applyAlignment="1">
      <alignment/>
    </xf>
    <xf numFmtId="0" fontId="24" fillId="0" borderId="1" xfId="0" applyFont="1" applyBorder="1" applyAlignment="1">
      <alignment/>
    </xf>
    <xf numFmtId="0" fontId="22" fillId="0" borderId="11" xfId="0" applyFont="1" applyBorder="1" applyAlignment="1">
      <alignment vertical="top" wrapText="1"/>
    </xf>
    <xf numFmtId="0" fontId="22" fillId="0" borderId="0" xfId="0" applyFont="1" applyBorder="1" applyAlignment="1">
      <alignment horizontal="right" vertical="top" wrapText="1"/>
    </xf>
    <xf numFmtId="0" fontId="22" fillId="0" borderId="8" xfId="0" applyFont="1" applyBorder="1" applyAlignment="1">
      <alignment horizontal="right" vertical="top" wrapText="1"/>
    </xf>
    <xf numFmtId="0" fontId="5" fillId="2" borderId="1" xfId="0" applyFont="1" applyFill="1" applyBorder="1" applyAlignment="1">
      <alignment/>
    </xf>
    <xf numFmtId="0" fontId="28" fillId="0" borderId="0" xfId="0" applyFont="1" applyFill="1" applyAlignment="1">
      <alignment horizontal="left"/>
    </xf>
    <xf numFmtId="0" fontId="16" fillId="2" borderId="0" xfId="0" applyFont="1" applyFill="1" applyBorder="1" applyAlignment="1">
      <alignment horizontal="center"/>
    </xf>
    <xf numFmtId="0" fontId="16" fillId="2" borderId="17" xfId="0" applyFont="1" applyFill="1" applyBorder="1" applyAlignment="1">
      <alignment horizontal="center"/>
    </xf>
    <xf numFmtId="0" fontId="14" fillId="2" borderId="18" xfId="0" applyFont="1" applyFill="1" applyBorder="1" applyAlignment="1">
      <alignment horizontal="center"/>
    </xf>
    <xf numFmtId="0" fontId="16" fillId="2" borderId="18" xfId="0" applyFont="1" applyFill="1" applyBorder="1" applyAlignment="1">
      <alignment horizontal="center"/>
    </xf>
    <xf numFmtId="0" fontId="16" fillId="2" borderId="12" xfId="0" applyFont="1" applyFill="1" applyBorder="1" applyAlignment="1">
      <alignment horizontal="center"/>
    </xf>
    <xf numFmtId="0" fontId="16" fillId="2" borderId="13" xfId="0" applyFont="1" applyFill="1" applyBorder="1" applyAlignment="1">
      <alignment horizontal="center"/>
    </xf>
    <xf numFmtId="0" fontId="16" fillId="2" borderId="14" xfId="0" applyFont="1" applyFill="1" applyBorder="1" applyAlignment="1">
      <alignment horizontal="center"/>
    </xf>
    <xf numFmtId="0" fontId="16" fillId="2" borderId="15" xfId="0" applyFont="1" applyFill="1" applyBorder="1" applyAlignment="1">
      <alignment horizontal="center"/>
    </xf>
    <xf numFmtId="0" fontId="16" fillId="2" borderId="19" xfId="0" applyFont="1" applyFill="1" applyBorder="1" applyAlignment="1">
      <alignment horizontal="center"/>
    </xf>
    <xf numFmtId="0" fontId="16" fillId="2" borderId="16" xfId="0" applyFont="1" applyFill="1" applyBorder="1" applyAlignment="1">
      <alignment horizontal="center"/>
    </xf>
    <xf numFmtId="0" fontId="13" fillId="0" borderId="22" xfId="0" applyFont="1" applyFill="1" applyBorder="1" applyAlignment="1">
      <alignment/>
    </xf>
    <xf numFmtId="0" fontId="20" fillId="0" borderId="1" xfId="0" applyFont="1" applyFill="1" applyBorder="1" applyAlignment="1">
      <alignment horizontal="center"/>
    </xf>
    <xf numFmtId="0" fontId="20" fillId="0" borderId="11" xfId="0" applyFont="1" applyFill="1" applyBorder="1" applyAlignment="1">
      <alignment horizontal="center"/>
    </xf>
    <xf numFmtId="0" fontId="20" fillId="0" borderId="4" xfId="0" applyFont="1" applyFill="1" applyBorder="1" applyAlignment="1">
      <alignment horizontal="center"/>
    </xf>
    <xf numFmtId="0" fontId="0" fillId="3" borderId="8" xfId="0" applyFont="1" applyFill="1" applyBorder="1" applyAlignment="1">
      <alignment/>
    </xf>
    <xf numFmtId="0" fontId="5" fillId="3" borderId="7" xfId="0" applyFont="1" applyFill="1" applyBorder="1" applyAlignment="1">
      <alignment/>
    </xf>
    <xf numFmtId="0" fontId="0" fillId="2" borderId="0" xfId="0" applyFill="1" applyAlignment="1">
      <alignment/>
    </xf>
    <xf numFmtId="0" fontId="0" fillId="2" borderId="0" xfId="0" applyFont="1" applyFill="1" applyAlignment="1">
      <alignment/>
    </xf>
    <xf numFmtId="0" fontId="18"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2"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1" fillId="0" borderId="1" xfId="0" applyFont="1" applyBorder="1" applyAlignment="1">
      <alignment/>
    </xf>
    <xf numFmtId="0" fontId="0" fillId="0" borderId="3" xfId="0" applyBorder="1" applyAlignment="1">
      <alignment horizontal="center"/>
    </xf>
    <xf numFmtId="0" fontId="34" fillId="2" borderId="6" xfId="0" applyFont="1" applyFill="1" applyBorder="1" applyAlignment="1">
      <alignment horizontal="center"/>
    </xf>
    <xf numFmtId="2" fontId="0" fillId="2" borderId="0" xfId="0" applyNumberFormat="1" applyFill="1" applyAlignment="1">
      <alignment horizontal="center"/>
    </xf>
    <xf numFmtId="2" fontId="0" fillId="2" borderId="0" xfId="0" applyNumberFormat="1" applyFont="1" applyFill="1" applyAlignment="1">
      <alignment horizontal="center"/>
    </xf>
    <xf numFmtId="0" fontId="0" fillId="0" borderId="0" xfId="0" applyFont="1" applyAlignment="1">
      <alignment horizontal="center"/>
    </xf>
    <xf numFmtId="0" fontId="0" fillId="3" borderId="0" xfId="0" applyFill="1" applyAlignment="1">
      <alignment/>
    </xf>
    <xf numFmtId="0" fontId="0" fillId="3" borderId="0" xfId="0" applyFont="1" applyFill="1" applyAlignment="1">
      <alignment/>
    </xf>
    <xf numFmtId="0" fontId="28" fillId="0" borderId="7" xfId="0" applyFont="1" applyFill="1" applyBorder="1" applyAlignment="1">
      <alignment horizontal="center"/>
    </xf>
    <xf numFmtId="0" fontId="20" fillId="0" borderId="0" xfId="0" applyFont="1" applyFill="1" applyAlignment="1">
      <alignment/>
    </xf>
    <xf numFmtId="0" fontId="13" fillId="0" borderId="1" xfId="0" applyFont="1" applyFill="1" applyBorder="1" applyAlignment="1">
      <alignment/>
    </xf>
    <xf numFmtId="0" fontId="11" fillId="0" borderId="2" xfId="0" applyFont="1" applyFill="1" applyBorder="1" applyAlignment="1">
      <alignment/>
    </xf>
    <xf numFmtId="0" fontId="11" fillId="0" borderId="3" xfId="0" applyFont="1" applyFill="1" applyBorder="1" applyAlignment="1">
      <alignment/>
    </xf>
    <xf numFmtId="0" fontId="20" fillId="0" borderId="4" xfId="0" applyFont="1" applyFill="1" applyBorder="1" applyAlignment="1">
      <alignment/>
    </xf>
    <xf numFmtId="0" fontId="11" fillId="0" borderId="5" xfId="0" applyFont="1" applyFill="1" applyBorder="1" applyAlignment="1">
      <alignment/>
    </xf>
    <xf numFmtId="0" fontId="11" fillId="0" borderId="6" xfId="0" applyFont="1" applyFill="1" applyBorder="1" applyAlignment="1">
      <alignment/>
    </xf>
    <xf numFmtId="0" fontId="13"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1725"/>
          <c:w val="0.917"/>
          <c:h val="0.9112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Calcs'!$C$10:$C$41</c:f>
              <c:numCache>
                <c:ptCount val="32"/>
                <c:pt idx="0">
                  <c:v>0</c:v>
                </c:pt>
                <c:pt idx="1">
                  <c:v>2.912621359223301</c:v>
                </c:pt>
                <c:pt idx="2">
                  <c:v>5.660377358490566</c:v>
                </c:pt>
                <c:pt idx="3">
                  <c:v>8.256880733944953</c:v>
                </c:pt>
                <c:pt idx="4">
                  <c:v>10.714285714285714</c:v>
                </c:pt>
                <c:pt idx="5">
                  <c:v>13.043478260869566</c:v>
                </c:pt>
                <c:pt idx="6">
                  <c:v>15.254237288135593</c:v>
                </c:pt>
                <c:pt idx="7">
                  <c:v>17.355371900826448</c:v>
                </c:pt>
                <c:pt idx="8">
                  <c:v>19.35483870967742</c:v>
                </c:pt>
                <c:pt idx="9">
                  <c:v>21.25984251968504</c:v>
                </c:pt>
                <c:pt idx="10">
                  <c:v>23.076923076923077</c:v>
                </c:pt>
                <c:pt idx="11">
                  <c:v>24.81203007518797</c:v>
                </c:pt>
                <c:pt idx="12">
                  <c:v>26.47058823529412</c:v>
                </c:pt>
                <c:pt idx="13">
                  <c:v>28.05755395683453</c:v>
                </c:pt>
                <c:pt idx="14">
                  <c:v>29.577464788732396</c:v>
                </c:pt>
                <c:pt idx="15">
                  <c:v>31.034482758620687</c:v>
                </c:pt>
                <c:pt idx="16">
                  <c:v>32.432432432432435</c:v>
                </c:pt>
                <c:pt idx="17">
                  <c:v>33.77483443708609</c:v>
                </c:pt>
                <c:pt idx="18">
                  <c:v>39.75903614457831</c:v>
                </c:pt>
                <c:pt idx="19">
                  <c:v>44.751381215469614</c:v>
                </c:pt>
                <c:pt idx="20">
                  <c:v>48.97959183673469</c:v>
                </c:pt>
                <c:pt idx="21">
                  <c:v>52.60663507109005</c:v>
                </c:pt>
                <c:pt idx="22">
                  <c:v>55.75221238938054</c:v>
                </c:pt>
                <c:pt idx="23">
                  <c:v>60.9375</c:v>
                </c:pt>
                <c:pt idx="24">
                  <c:v>65.03496503496504</c:v>
                </c:pt>
                <c:pt idx="25">
                  <c:v>68.35443037974683</c:v>
                </c:pt>
                <c:pt idx="26">
                  <c:v>75</c:v>
                </c:pt>
                <c:pt idx="27">
                  <c:v>85.71428571428571</c:v>
                </c:pt>
                <c:pt idx="28">
                  <c:v>92.3076923076923</c:v>
                </c:pt>
                <c:pt idx="29">
                  <c:v>96</c:v>
                </c:pt>
                <c:pt idx="30">
                  <c:v>98.36065573770492</c:v>
                </c:pt>
                <c:pt idx="31">
                  <c:v>99.66777408637874</c:v>
                </c:pt>
              </c:numCache>
            </c:numRef>
          </c:xVal>
          <c:yVal>
            <c:numRef>
              <c:f>'Rhodes Diag Calcs'!$D$10:$D$41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1"/>
          <c:order val="1"/>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Calcs'!$H$10:$H$40</c:f>
              <c:numCache>
                <c:ptCount val="31"/>
                <c:pt idx="0">
                  <c:v>0</c:v>
                </c:pt>
                <c:pt idx="1">
                  <c:v>2.6290165530671863</c:v>
                </c:pt>
                <c:pt idx="2">
                  <c:v>5.1233396584440225</c:v>
                </c:pt>
                <c:pt idx="3">
                  <c:v>7.493061979648473</c:v>
                </c:pt>
                <c:pt idx="4">
                  <c:v>9.747292418772563</c:v>
                </c:pt>
                <c:pt idx="5">
                  <c:v>11.894273127753303</c:v>
                </c:pt>
                <c:pt idx="6">
                  <c:v>13.941480206540447</c:v>
                </c:pt>
                <c:pt idx="7">
                  <c:v>15.895710681244742</c:v>
                </c:pt>
                <c:pt idx="8">
                  <c:v>17.763157894736842</c:v>
                </c:pt>
                <c:pt idx="9">
                  <c:v>19.549477071600965</c:v>
                </c:pt>
                <c:pt idx="10">
                  <c:v>21.25984251968504</c:v>
                </c:pt>
                <c:pt idx="11">
                  <c:v>22.89899768696993</c:v>
                </c:pt>
                <c:pt idx="12">
                  <c:v>24.47129909365559</c:v>
                </c:pt>
                <c:pt idx="13">
                  <c:v>25.98075499629904</c:v>
                </c:pt>
                <c:pt idx="14">
                  <c:v>27.4310595065312</c:v>
                </c:pt>
                <c:pt idx="15">
                  <c:v>28.82562277580071</c:v>
                </c:pt>
                <c:pt idx="16">
                  <c:v>30.16759776536313</c:v>
                </c:pt>
                <c:pt idx="17">
                  <c:v>31.45990404386566</c:v>
                </c:pt>
                <c:pt idx="18">
                  <c:v>37.26474278544542</c:v>
                </c:pt>
                <c:pt idx="19">
                  <c:v>42.1631000578369</c:v>
                </c:pt>
                <c:pt idx="20">
                  <c:v>46.351931330472105</c:v>
                </c:pt>
                <c:pt idx="21">
                  <c:v>49.97498749374687</c:v>
                </c:pt>
                <c:pt idx="22">
                  <c:v>53.13964386129334</c:v>
                </c:pt>
                <c:pt idx="23">
                  <c:v>58.402662229617306</c:v>
                </c:pt>
                <c:pt idx="24">
                  <c:v>62.60284218399401</c:v>
                </c:pt>
                <c:pt idx="25">
                  <c:v>66.03260869565217</c:v>
                </c:pt>
                <c:pt idx="26">
                  <c:v>72.97297297297297</c:v>
                </c:pt>
                <c:pt idx="27">
                  <c:v>84.375</c:v>
                </c:pt>
                <c:pt idx="28">
                  <c:v>91.52542372881355</c:v>
                </c:pt>
                <c:pt idx="29">
                  <c:v>95.57522123893804</c:v>
                </c:pt>
                <c:pt idx="30">
                  <c:v>98.18181818181819</c:v>
                </c:pt>
              </c:numCache>
            </c:numRef>
          </c:xVal>
          <c:yVal>
            <c:numRef>
              <c:f>'Rhodes Diag Calcs'!$I$10:$I$40</c:f>
              <c:numCache>
                <c:ptCount val="31"/>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numCache>
            </c:numRef>
          </c:yVal>
          <c:smooth val="0"/>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Calcs'!$M$10:$M$41</c:f>
              <c:numCache>
                <c:ptCount val="32"/>
                <c:pt idx="0">
                  <c:v>0</c:v>
                </c:pt>
                <c:pt idx="1">
                  <c:v>3.194578896418199</c:v>
                </c:pt>
                <c:pt idx="2">
                  <c:v>6.191369606003751</c:v>
                </c:pt>
                <c:pt idx="3">
                  <c:v>9.008189262966331</c:v>
                </c:pt>
                <c:pt idx="4">
                  <c:v>11.66077738515901</c:v>
                </c:pt>
                <c:pt idx="5">
                  <c:v>14.16309012875536</c:v>
                </c:pt>
                <c:pt idx="6">
                  <c:v>16.52754590984975</c:v>
                </c:pt>
                <c:pt idx="7">
                  <c:v>18.765231519090168</c:v>
                </c:pt>
                <c:pt idx="8">
                  <c:v>20.886075949367086</c:v>
                </c:pt>
                <c:pt idx="9">
                  <c:v>22.89899768696993</c:v>
                </c:pt>
                <c:pt idx="10">
                  <c:v>24.812030075187963</c:v>
                </c:pt>
                <c:pt idx="11">
                  <c:v>26.632428466617753</c:v>
                </c:pt>
                <c:pt idx="12">
                  <c:v>28.36676217765043</c:v>
                </c:pt>
                <c:pt idx="13">
                  <c:v>30.02099370188943</c:v>
                </c:pt>
                <c:pt idx="14">
                  <c:v>31.60054719562243</c:v>
                </c:pt>
                <c:pt idx="15">
                  <c:v>33.11036789297658</c:v>
                </c:pt>
                <c:pt idx="16">
                  <c:v>34.55497382198952</c:v>
                </c:pt>
                <c:pt idx="17">
                  <c:v>35.93850096092248</c:v>
                </c:pt>
                <c:pt idx="18">
                  <c:v>42.06257242178447</c:v>
                </c:pt>
                <c:pt idx="19">
                  <c:v>47.11792702273929</c:v>
                </c:pt>
                <c:pt idx="20">
                  <c:v>51.361867704280144</c:v>
                </c:pt>
                <c:pt idx="21">
                  <c:v>54.975236380008994</c:v>
                </c:pt>
                <c:pt idx="22">
                  <c:v>58.088851634534784</c:v>
                </c:pt>
                <c:pt idx="23">
                  <c:v>63.18114874815905</c:v>
                </c:pt>
                <c:pt idx="24">
                  <c:v>67.17005909389363</c:v>
                </c:pt>
                <c:pt idx="25">
                  <c:v>70.37914691943128</c:v>
                </c:pt>
                <c:pt idx="26">
                  <c:v>76.74418604651163</c:v>
                </c:pt>
                <c:pt idx="27">
                  <c:v>86.8421052631579</c:v>
                </c:pt>
                <c:pt idx="28">
                  <c:v>92.95774647887325</c:v>
                </c:pt>
                <c:pt idx="29">
                  <c:v>96.35036496350365</c:v>
                </c:pt>
                <c:pt idx="30">
                  <c:v>98.50746268656715</c:v>
                </c:pt>
                <c:pt idx="31">
                  <c:v>99.69788519637461</c:v>
                </c:pt>
              </c:numCache>
            </c:numRef>
          </c:xVal>
          <c:yVal>
            <c:numRef>
              <c:f>'Rhodes Diag Calcs'!$N$10:$N$41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'Olivine-liq thermometry'!$AO$16:$AO$25</c:f>
              <c:numCache>
                <c:ptCount val="10"/>
                <c:pt idx="0">
                  <c:v>66.99821275934416</c:v>
                </c:pt>
                <c:pt idx="1">
                  <c:v>73.12983407067242</c:v>
                </c:pt>
                <c:pt idx="2">
                  <c:v>57.30695203398575</c:v>
                </c:pt>
                <c:pt idx="3">
                  <c:v>61.53192570347013</c:v>
                </c:pt>
                <c:pt idx="4">
                  <c:v>74.71839672771206</c:v>
                </c:pt>
                <c:pt idx="5">
                  <c:v>71.14565798593921</c:v>
                </c:pt>
                <c:pt idx="6">
                  <c:v>52.07591909248923</c:v>
                </c:pt>
                <c:pt idx="7">
                  <c:v>46.27182699966669</c:v>
                </c:pt>
                <c:pt idx="8">
                  <c:v>49.71556911698815</c:v>
                </c:pt>
                <c:pt idx="9">
                  <c:v>52.085170632153925</c:v>
                </c:pt>
              </c:numCache>
            </c:numRef>
          </c:xVal>
          <c:yVal>
            <c:numRef>
              <c:f>'Olivine-liq thermometry'!$AP$16:$AP$25</c:f>
              <c:numCache>
                <c:ptCount val="10"/>
                <c:pt idx="0">
                  <c:v>87.20441643771076</c:v>
                </c:pt>
                <c:pt idx="1">
                  <c:v>90.32197802995833</c:v>
                </c:pt>
                <c:pt idx="2">
                  <c:v>83.56823893329987</c:v>
                </c:pt>
                <c:pt idx="3">
                  <c:v>86.34087722811937</c:v>
                </c:pt>
                <c:pt idx="4">
                  <c:v>90.3294667146764</c:v>
                </c:pt>
                <c:pt idx="5">
                  <c:v>89.08000066463781</c:v>
                </c:pt>
                <c:pt idx="6">
                  <c:v>83.86354714610975</c:v>
                </c:pt>
                <c:pt idx="7">
                  <c:v>80.13085095303946</c:v>
                </c:pt>
                <c:pt idx="8">
                  <c:v>81.71031123553556</c:v>
                </c:pt>
                <c:pt idx="9">
                  <c:v>82.27520318961501</c:v>
                </c:pt>
              </c:numCache>
            </c:numRef>
          </c:yVal>
          <c:smooth val="0"/>
        </c:ser>
        <c:axId val="64876704"/>
        <c:axId val="47019425"/>
      </c:scatterChart>
      <c:valAx>
        <c:axId val="64876704"/>
        <c:scaling>
          <c:orientation val="minMax"/>
          <c:max val="100"/>
        </c:scaling>
        <c:axPos val="b"/>
        <c:title>
          <c:tx>
            <c:rich>
              <a:bodyPr vert="horz" rot="0" anchor="ctr"/>
              <a:lstStyle/>
              <a:p>
                <a:pPr algn="ctr">
                  <a:defRPr/>
                </a:pPr>
                <a:r>
                  <a:rPr lang="en-US" cap="none" sz="1400" b="0" i="0" u="none" baseline="0">
                    <a:latin typeface="Verdana"/>
                    <a:ea typeface="Verdana"/>
                    <a:cs typeface="Verdana"/>
                  </a:rPr>
                  <a:t>100xMg# Liquid</a:t>
                </a:r>
              </a:p>
            </c:rich>
          </c:tx>
          <c:layout>
            <c:manualLayout>
              <c:xMode val="factor"/>
              <c:yMode val="factor"/>
              <c:x val="0"/>
              <c:y val="-0.00425"/>
            </c:manualLayout>
          </c:layout>
          <c:overlay val="0"/>
          <c:spPr>
            <a:noFill/>
            <a:ln>
              <a:noFill/>
            </a:ln>
          </c:spPr>
        </c:title>
        <c:delete val="0"/>
        <c:numFmt formatCode="General" sourceLinked="1"/>
        <c:majorTickMark val="in"/>
        <c:minorTickMark val="none"/>
        <c:tickLblPos val="nextTo"/>
        <c:spPr>
          <a:ln w="25400">
            <a:solidFill>
              <a:srgbClr val="000000"/>
            </a:solidFill>
          </a:ln>
        </c:spPr>
        <c:txPr>
          <a:bodyPr vert="horz" rot="0"/>
          <a:lstStyle/>
          <a:p>
            <a:pPr>
              <a:defRPr lang="en-US" cap="none" sz="1200" b="0" i="0" u="none" baseline="0">
                <a:solidFill>
                  <a:srgbClr val="000000"/>
                </a:solidFill>
                <a:latin typeface="Verdana"/>
                <a:ea typeface="Verdana"/>
                <a:cs typeface="Verdana"/>
              </a:defRPr>
            </a:pPr>
          </a:p>
        </c:txPr>
        <c:crossAx val="47019425"/>
        <c:crosses val="autoZero"/>
        <c:crossBetween val="midCat"/>
        <c:dispUnits/>
      </c:valAx>
      <c:valAx>
        <c:axId val="47019425"/>
        <c:scaling>
          <c:orientation val="minMax"/>
          <c:max val="100"/>
        </c:scaling>
        <c:axPos val="l"/>
        <c:title>
          <c:tx>
            <c:rich>
              <a:bodyPr vert="horz" rot="-5400000" anchor="ctr"/>
              <a:lstStyle/>
              <a:p>
                <a:pPr algn="ctr">
                  <a:defRPr/>
                </a:pPr>
                <a:r>
                  <a:rPr lang="en-US" cap="none" sz="1400" b="0" i="0" u="none" baseline="0">
                    <a:latin typeface="Verdana"/>
                    <a:ea typeface="Verdana"/>
                    <a:cs typeface="Verdana"/>
                  </a:rPr>
                  <a:t>100xMg# Olivine</a:t>
                </a:r>
              </a:p>
            </c:rich>
          </c:tx>
          <c:layout>
            <c:manualLayout>
              <c:xMode val="factor"/>
              <c:yMode val="factor"/>
              <c:x val="-0.00275"/>
              <c:y val="0.00525"/>
            </c:manualLayout>
          </c:layout>
          <c:overlay val="0"/>
          <c:spPr>
            <a:noFill/>
            <a:ln>
              <a:noFill/>
            </a:ln>
          </c:spPr>
        </c:title>
        <c:delete val="0"/>
        <c:numFmt formatCode="General" sourceLinked="1"/>
        <c:majorTickMark val="in"/>
        <c:minorTickMark val="none"/>
        <c:tickLblPos val="nextTo"/>
        <c:spPr>
          <a:ln w="25400">
            <a:solidFill>
              <a:srgbClr val="000000"/>
            </a:solidFill>
          </a:ln>
        </c:spPr>
        <c:txPr>
          <a:bodyPr vert="horz" rot="0"/>
          <a:lstStyle/>
          <a:p>
            <a:pPr>
              <a:defRPr lang="en-US" cap="none" sz="1200" b="0" i="0" u="none" baseline="0">
                <a:solidFill>
                  <a:srgbClr val="000000"/>
                </a:solidFill>
                <a:latin typeface="Verdana"/>
                <a:ea typeface="Verdana"/>
                <a:cs typeface="Verdana"/>
              </a:defRPr>
            </a:pPr>
          </a:p>
        </c:txPr>
        <c:crossAx val="64876704"/>
        <c:crosses val="autoZero"/>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875"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25"/>
          <c:y val="0.0175"/>
          <c:w val="0.88775"/>
          <c:h val="0.878"/>
        </c:manualLayout>
      </c:layout>
      <c:scatterChart>
        <c:scatterStyle val="lineMarker"/>
        <c:varyColors val="0"/>
        <c:ser>
          <c:idx val="2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RECalcs!$G$84:$G$94</c:f>
              <c:numCache>
                <c:ptCount val="11"/>
                <c:pt idx="0">
                  <c:v>0.0001</c:v>
                </c:pt>
                <c:pt idx="1">
                  <c:v>0.0201</c:v>
                </c:pt>
                <c:pt idx="2">
                  <c:v>0.040100000000000004</c:v>
                </c:pt>
                <c:pt idx="3">
                  <c:v>0.0601</c:v>
                </c:pt>
                <c:pt idx="4">
                  <c:v>0.088</c:v>
                </c:pt>
                <c:pt idx="5">
                  <c:v>0.10010000000000001</c:v>
                </c:pt>
                <c:pt idx="6">
                  <c:v>0.1201</c:v>
                </c:pt>
                <c:pt idx="7">
                  <c:v>0.1401</c:v>
                </c:pt>
                <c:pt idx="8">
                  <c:v>0.1601</c:v>
                </c:pt>
                <c:pt idx="9">
                  <c:v>0.18009999999999998</c:v>
                </c:pt>
                <c:pt idx="10">
                  <c:v>0.2001</c:v>
                </c:pt>
              </c:numCache>
            </c:numRef>
          </c:xVal>
          <c:yVal>
            <c:numRef>
              <c:f>RECalcs!$H$84:$H$94</c:f>
              <c:numCache>
                <c:ptCount val="11"/>
                <c:pt idx="0">
                  <c:v>0.00019266666666666667</c:v>
                </c:pt>
                <c:pt idx="1">
                  <c:v>0.038726</c:v>
                </c:pt>
                <c:pt idx="2">
                  <c:v>0.07725933333333333</c:v>
                </c:pt>
                <c:pt idx="3">
                  <c:v>0.11579266666666665</c:v>
                </c:pt>
                <c:pt idx="4">
                  <c:v>0.16954666666666665</c:v>
                </c:pt>
                <c:pt idx="5">
                  <c:v>0.19285933333333333</c:v>
                </c:pt>
                <c:pt idx="6">
                  <c:v>0.23139266666666664</c:v>
                </c:pt>
                <c:pt idx="7">
                  <c:v>0.269926</c:v>
                </c:pt>
                <c:pt idx="8">
                  <c:v>0.3084593333333333</c:v>
                </c:pt>
                <c:pt idx="9">
                  <c:v>0.3469926666666666</c:v>
                </c:pt>
                <c:pt idx="10">
                  <c:v>0.385526</c:v>
                </c:pt>
              </c:numCache>
            </c:numRef>
          </c:yVal>
          <c:smooth val="0"/>
        </c:ser>
        <c:ser>
          <c:idx val="8"/>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RECalcs!$CJ$52:$CJ$72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RECalcs!$CK$52:$CK$72</c:f>
              <c:numCache>
                <c:ptCount val="21"/>
                <c:pt idx="0">
                  <c:v>0.0009735166441956428</c:v>
                </c:pt>
                <c:pt idx="1">
                  <c:v>0.00080398517442074</c:v>
                </c:pt>
                <c:pt idx="2">
                  <c:v>0.0006344537046458372</c:v>
                </c:pt>
                <c:pt idx="3">
                  <c:v>0.0004649222348709345</c:v>
                </c:pt>
                <c:pt idx="4">
                  <c:v>0.0002953907650960316</c:v>
                </c:pt>
                <c:pt idx="5">
                  <c:v>0.00012585929532112875</c:v>
                </c:pt>
                <c:pt idx="6">
                  <c:v>-4.3672174453773894E-05</c:v>
                </c:pt>
                <c:pt idx="7">
                  <c:v>-0.00021320364422867689</c:v>
                </c:pt>
                <c:pt idx="8">
                  <c:v>-0.0003827351140035797</c:v>
                </c:pt>
                <c:pt idx="9">
                  <c:v>-0.0005522665837784822</c:v>
                </c:pt>
                <c:pt idx="10">
                  <c:v>-0.0007217980535533853</c:v>
                </c:pt>
                <c:pt idx="11">
                  <c:v>-0.0008913295233282881</c:v>
                </c:pt>
                <c:pt idx="12">
                  <c:v>-0.0010608609931031907</c:v>
                </c:pt>
                <c:pt idx="13">
                  <c:v>-0.0012303924628780938</c:v>
                </c:pt>
                <c:pt idx="14">
                  <c:v>-0.0013999239326529967</c:v>
                </c:pt>
                <c:pt idx="15">
                  <c:v>-0.001569455402427899</c:v>
                </c:pt>
                <c:pt idx="16">
                  <c:v>-0.001738986872202802</c:v>
                </c:pt>
                <c:pt idx="17">
                  <c:v>-0.0019085183419777052</c:v>
                </c:pt>
                <c:pt idx="18">
                  <c:v>-0.002078049811752607</c:v>
                </c:pt>
                <c:pt idx="19">
                  <c:v>-0.0022475812815275103</c:v>
                </c:pt>
                <c:pt idx="20">
                  <c:v>-0.0024171127513024134</c:v>
                </c:pt>
              </c:numCache>
            </c:numRef>
          </c:yVal>
          <c:smooth val="0"/>
        </c:ser>
        <c:ser>
          <c:idx val="0"/>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RECalcs!$D$84:$D$94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RECalcs!$E$84:$E$94</c:f>
              <c:numCache>
                <c:ptCount val="11"/>
                <c:pt idx="0">
                  <c:v>0.0003060000000000001</c:v>
                </c:pt>
                <c:pt idx="1">
                  <c:v>0.06150600000000002</c:v>
                </c:pt>
                <c:pt idx="2">
                  <c:v>0.12270600000000005</c:v>
                </c:pt>
                <c:pt idx="3">
                  <c:v>0.18390600000000007</c:v>
                </c:pt>
                <c:pt idx="4">
                  <c:v>0.2451060000000001</c:v>
                </c:pt>
                <c:pt idx="5">
                  <c:v>0.30630600000000013</c:v>
                </c:pt>
                <c:pt idx="6">
                  <c:v>0.3675060000000001</c:v>
                </c:pt>
                <c:pt idx="7">
                  <c:v>0.42870600000000014</c:v>
                </c:pt>
                <c:pt idx="8">
                  <c:v>0.4899060000000001</c:v>
                </c:pt>
                <c:pt idx="9">
                  <c:v>0.5511060000000001</c:v>
                </c:pt>
                <c:pt idx="10">
                  <c:v>0.6123060000000002</c:v>
                </c:pt>
              </c:numCache>
            </c:numRef>
          </c:yVal>
          <c:smooth val="0"/>
        </c:ser>
        <c:ser>
          <c:idx val="2"/>
          <c:order val="3"/>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RECalcs!$CD$52:$CD$72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RECalcs!$CE$52:$CE$72</c:f>
              <c:numCache>
                <c:ptCount val="21"/>
                <c:pt idx="0">
                  <c:v>0.0036345478810990905</c:v>
                </c:pt>
                <c:pt idx="1">
                  <c:v>0.003294310182707213</c:v>
                </c:pt>
                <c:pt idx="2">
                  <c:v>0.0029540724843153364</c:v>
                </c:pt>
                <c:pt idx="3">
                  <c:v>0.002613834785923459</c:v>
                </c:pt>
                <c:pt idx="4">
                  <c:v>0.0022735970875315814</c:v>
                </c:pt>
                <c:pt idx="5">
                  <c:v>0.001933359389139704</c:v>
                </c:pt>
                <c:pt idx="6">
                  <c:v>0.0015931216907478269</c:v>
                </c:pt>
                <c:pt idx="7">
                  <c:v>0.0012528839923559494</c:v>
                </c:pt>
                <c:pt idx="8">
                  <c:v>0.0009126462939640723</c:v>
                </c:pt>
                <c:pt idx="9">
                  <c:v>0.0005724085955721949</c:v>
                </c:pt>
                <c:pt idx="10">
                  <c:v>0.00023217089718031747</c:v>
                </c:pt>
                <c:pt idx="11">
                  <c:v>-0.00010806680121155933</c:v>
                </c:pt>
                <c:pt idx="12">
                  <c:v>-0.00044830449960343676</c:v>
                </c:pt>
                <c:pt idx="13">
                  <c:v>-0.0007885421979953142</c:v>
                </c:pt>
                <c:pt idx="14">
                  <c:v>-0.0011287798963871916</c:v>
                </c:pt>
                <c:pt idx="15">
                  <c:v>-0.0014690175947790684</c:v>
                </c:pt>
                <c:pt idx="16">
                  <c:v>-0.001809255293170946</c:v>
                </c:pt>
                <c:pt idx="17">
                  <c:v>-0.0021494929915628234</c:v>
                </c:pt>
                <c:pt idx="18">
                  <c:v>-0.0024897306899547005</c:v>
                </c:pt>
                <c:pt idx="19">
                  <c:v>-0.002829968388346578</c:v>
                </c:pt>
                <c:pt idx="20">
                  <c:v>-0.0031702060867384555</c:v>
                </c:pt>
              </c:numCache>
            </c:numRef>
          </c:yVal>
          <c:smooth val="0"/>
        </c:ser>
        <c:ser>
          <c:idx val="1"/>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RECalcs!$A$84:$A$94</c:f>
              <c:numCache>
                <c:ptCount val="11"/>
                <c:pt idx="0">
                  <c:v>0.0001</c:v>
                </c:pt>
                <c:pt idx="1">
                  <c:v>0.0101</c:v>
                </c:pt>
                <c:pt idx="2">
                  <c:v>0.0201</c:v>
                </c:pt>
                <c:pt idx="3">
                  <c:v>0.0301</c:v>
                </c:pt>
                <c:pt idx="4">
                  <c:v>0.040100000000000004</c:v>
                </c:pt>
                <c:pt idx="5">
                  <c:v>0.050100000000000006</c:v>
                </c:pt>
                <c:pt idx="6">
                  <c:v>0.0601</c:v>
                </c:pt>
                <c:pt idx="7">
                  <c:v>0.07010000000000001</c:v>
                </c:pt>
                <c:pt idx="8">
                  <c:v>0.0801</c:v>
                </c:pt>
                <c:pt idx="9">
                  <c:v>0.12</c:v>
                </c:pt>
                <c:pt idx="10">
                  <c:v>0.15</c:v>
                </c:pt>
              </c:numCache>
            </c:numRef>
          </c:xVal>
          <c:yVal>
            <c:numRef>
              <c:f>RECalcs!$B$84:$B$94</c:f>
              <c:numCache>
                <c:ptCount val="11"/>
                <c:pt idx="0">
                  <c:v>0.0006459999999999995</c:v>
                </c:pt>
                <c:pt idx="1">
                  <c:v>0.06524599999999994</c:v>
                </c:pt>
                <c:pt idx="2">
                  <c:v>0.12984599999999988</c:v>
                </c:pt>
                <c:pt idx="3">
                  <c:v>0.19444599999999984</c:v>
                </c:pt>
                <c:pt idx="4">
                  <c:v>0.25904599999999983</c:v>
                </c:pt>
                <c:pt idx="5">
                  <c:v>0.32364599999999977</c:v>
                </c:pt>
                <c:pt idx="6">
                  <c:v>0.3882459999999997</c:v>
                </c:pt>
                <c:pt idx="7">
                  <c:v>0.4528459999999997</c:v>
                </c:pt>
                <c:pt idx="8">
                  <c:v>0.5174459999999996</c:v>
                </c:pt>
                <c:pt idx="9">
                  <c:v>0.7751999999999993</c:v>
                </c:pt>
                <c:pt idx="10">
                  <c:v>0.9689999999999992</c:v>
                </c:pt>
              </c:numCache>
            </c:numRef>
          </c:yVal>
          <c:smooth val="0"/>
        </c:ser>
        <c:ser>
          <c:idx val="4"/>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RECalcs!$A$104:$A$114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RECalcs!$B$104:$B$114</c:f>
              <c:numCache>
                <c:ptCount val="11"/>
                <c:pt idx="0">
                  <c:v>0.00013600000000000003</c:v>
                </c:pt>
                <c:pt idx="1">
                  <c:v>0.027336000000000006</c:v>
                </c:pt>
                <c:pt idx="2">
                  <c:v>0.054536000000000015</c:v>
                </c:pt>
                <c:pt idx="3">
                  <c:v>0.08173600000000002</c:v>
                </c:pt>
                <c:pt idx="4">
                  <c:v>0.10893600000000003</c:v>
                </c:pt>
                <c:pt idx="5">
                  <c:v>0.13613600000000003</c:v>
                </c:pt>
                <c:pt idx="6">
                  <c:v>0.16333600000000004</c:v>
                </c:pt>
                <c:pt idx="7">
                  <c:v>0.19053600000000004</c:v>
                </c:pt>
                <c:pt idx="8">
                  <c:v>0.21773600000000004</c:v>
                </c:pt>
                <c:pt idx="9">
                  <c:v>0.24493600000000004</c:v>
                </c:pt>
                <c:pt idx="10">
                  <c:v>0.27213600000000004</c:v>
                </c:pt>
              </c:numCache>
            </c:numRef>
          </c:yVal>
          <c:smooth val="0"/>
        </c:ser>
        <c:ser>
          <c:idx val="5"/>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RECalcs!$D$104:$D$114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RECalcs!$E$104:$E$114</c:f>
              <c:numCache>
                <c:ptCount val="11"/>
                <c:pt idx="0">
                  <c:v>0.00010200000000000001</c:v>
                </c:pt>
                <c:pt idx="1">
                  <c:v>0.020502</c:v>
                </c:pt>
                <c:pt idx="2">
                  <c:v>0.04090200000000001</c:v>
                </c:pt>
                <c:pt idx="3">
                  <c:v>0.061302</c:v>
                </c:pt>
                <c:pt idx="4">
                  <c:v>0.08170200000000001</c:v>
                </c:pt>
                <c:pt idx="5">
                  <c:v>0.10210200000000001</c:v>
                </c:pt>
                <c:pt idx="6">
                  <c:v>0.122502</c:v>
                </c:pt>
                <c:pt idx="7">
                  <c:v>0.142902</c:v>
                </c:pt>
                <c:pt idx="8">
                  <c:v>0.163302</c:v>
                </c:pt>
                <c:pt idx="9">
                  <c:v>0.18370199999999998</c:v>
                </c:pt>
                <c:pt idx="10">
                  <c:v>0.204102</c:v>
                </c:pt>
              </c:numCache>
            </c:numRef>
          </c:yVal>
          <c:smooth val="0"/>
        </c:ser>
        <c:ser>
          <c:idx val="3"/>
          <c:order val="7"/>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RECalcs!$D$52:$D$72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RECalcs!$E$52:$E$72</c:f>
              <c:numCache>
                <c:ptCount val="21"/>
                <c:pt idx="0">
                  <c:v>0.6189673590961348</c:v>
                </c:pt>
                <c:pt idx="1">
                  <c:v>0.613819132665332</c:v>
                </c:pt>
                <c:pt idx="2">
                  <c:v>0.608670906234529</c:v>
                </c:pt>
                <c:pt idx="3">
                  <c:v>0.6035226798037262</c:v>
                </c:pt>
                <c:pt idx="4">
                  <c:v>0.5983744533729233</c:v>
                </c:pt>
                <c:pt idx="5">
                  <c:v>0.5932262269421205</c:v>
                </c:pt>
                <c:pt idx="6">
                  <c:v>0.5880780005113175</c:v>
                </c:pt>
                <c:pt idx="7">
                  <c:v>0.5829297740805147</c:v>
                </c:pt>
                <c:pt idx="8">
                  <c:v>0.5777815476497118</c:v>
                </c:pt>
                <c:pt idx="9">
                  <c:v>0.5726333212189089</c:v>
                </c:pt>
                <c:pt idx="10">
                  <c:v>0.5674850947881059</c:v>
                </c:pt>
                <c:pt idx="11">
                  <c:v>0.5623368683573031</c:v>
                </c:pt>
                <c:pt idx="12">
                  <c:v>0.5571886419265002</c:v>
                </c:pt>
                <c:pt idx="13">
                  <c:v>0.5520404154956974</c:v>
                </c:pt>
                <c:pt idx="14">
                  <c:v>0.5468921890648945</c:v>
                </c:pt>
                <c:pt idx="15">
                  <c:v>0.5417439626340916</c:v>
                </c:pt>
                <c:pt idx="16">
                  <c:v>0.5365957362032887</c:v>
                </c:pt>
                <c:pt idx="17">
                  <c:v>0.5314475097724859</c:v>
                </c:pt>
                <c:pt idx="18">
                  <c:v>0.526299283341683</c:v>
                </c:pt>
                <c:pt idx="19">
                  <c:v>0.5211510569108802</c:v>
                </c:pt>
                <c:pt idx="20">
                  <c:v>0.5160028304800772</c:v>
                </c:pt>
              </c:numCache>
            </c:numRef>
          </c:yVal>
          <c:smooth val="0"/>
        </c:ser>
        <c:ser>
          <c:idx val="6"/>
          <c:order val="8"/>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RECalcs!$P$52:$P$72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RECalcs!$Q$52:$Q$72</c:f>
              <c:numCache>
                <c:ptCount val="21"/>
                <c:pt idx="0">
                  <c:v>0.4551725998739074</c:v>
                </c:pt>
                <c:pt idx="1">
                  <c:v>0.45079670564985075</c:v>
                </c:pt>
                <c:pt idx="2">
                  <c:v>0.44642081142579415</c:v>
                </c:pt>
                <c:pt idx="3">
                  <c:v>0.4420449172017375</c:v>
                </c:pt>
                <c:pt idx="4">
                  <c:v>0.43766902297768084</c:v>
                </c:pt>
                <c:pt idx="5">
                  <c:v>0.4332931287536242</c:v>
                </c:pt>
                <c:pt idx="6">
                  <c:v>0.4289172345295676</c:v>
                </c:pt>
                <c:pt idx="7">
                  <c:v>0.42454134030551094</c:v>
                </c:pt>
                <c:pt idx="8">
                  <c:v>0.42016544608145423</c:v>
                </c:pt>
                <c:pt idx="9">
                  <c:v>0.41578955185739763</c:v>
                </c:pt>
                <c:pt idx="10">
                  <c:v>0.411413657633341</c:v>
                </c:pt>
                <c:pt idx="11">
                  <c:v>0.4070377634092843</c:v>
                </c:pt>
                <c:pt idx="12">
                  <c:v>0.40266186918522767</c:v>
                </c:pt>
                <c:pt idx="13">
                  <c:v>0.3982859749611711</c:v>
                </c:pt>
                <c:pt idx="14">
                  <c:v>0.3939100807371144</c:v>
                </c:pt>
                <c:pt idx="15">
                  <c:v>0.38953418651305777</c:v>
                </c:pt>
                <c:pt idx="16">
                  <c:v>0.38515829228900117</c:v>
                </c:pt>
                <c:pt idx="17">
                  <c:v>0.3807823980649445</c:v>
                </c:pt>
                <c:pt idx="18">
                  <c:v>0.3764065038408878</c:v>
                </c:pt>
                <c:pt idx="19">
                  <c:v>0.37203060961683115</c:v>
                </c:pt>
                <c:pt idx="20">
                  <c:v>0.3676547153927745</c:v>
                </c:pt>
              </c:numCache>
            </c:numRef>
          </c:yVal>
          <c:smooth val="0"/>
        </c:ser>
        <c:ser>
          <c:idx val="7"/>
          <c:order val="9"/>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RECalcs!$J$52:$J$72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RECalcs!$K$52:$K$72</c:f>
              <c:numCache>
                <c:ptCount val="21"/>
                <c:pt idx="0">
                  <c:v>0.5350998964110811</c:v>
                </c:pt>
                <c:pt idx="1">
                  <c:v>0.5303331737875514</c:v>
                </c:pt>
                <c:pt idx="2">
                  <c:v>0.5255664511640217</c:v>
                </c:pt>
                <c:pt idx="3">
                  <c:v>0.520799728540492</c:v>
                </c:pt>
                <c:pt idx="4">
                  <c:v>0.5160330059169622</c:v>
                </c:pt>
                <c:pt idx="5">
                  <c:v>0.5112662832934325</c:v>
                </c:pt>
                <c:pt idx="6">
                  <c:v>0.5064995606699029</c:v>
                </c:pt>
                <c:pt idx="7">
                  <c:v>0.5017328380463731</c:v>
                </c:pt>
                <c:pt idx="8">
                  <c:v>0.4969661154228433</c:v>
                </c:pt>
                <c:pt idx="9">
                  <c:v>0.4921993927993137</c:v>
                </c:pt>
                <c:pt idx="10">
                  <c:v>0.48743267017578384</c:v>
                </c:pt>
                <c:pt idx="11">
                  <c:v>0.48266594755225417</c:v>
                </c:pt>
                <c:pt idx="12">
                  <c:v>0.47789922492872444</c:v>
                </c:pt>
                <c:pt idx="13">
                  <c:v>0.4731325023051947</c:v>
                </c:pt>
                <c:pt idx="14">
                  <c:v>0.468365779681665</c:v>
                </c:pt>
                <c:pt idx="15">
                  <c:v>0.4635990570581353</c:v>
                </c:pt>
                <c:pt idx="16">
                  <c:v>0.4588323344346056</c:v>
                </c:pt>
                <c:pt idx="17">
                  <c:v>0.45406561181107585</c:v>
                </c:pt>
                <c:pt idx="18">
                  <c:v>0.4492988891875461</c:v>
                </c:pt>
                <c:pt idx="19">
                  <c:v>0.4445321665640164</c:v>
                </c:pt>
                <c:pt idx="20">
                  <c:v>0.4397654439404867</c:v>
                </c:pt>
              </c:numCache>
            </c:numRef>
          </c:yVal>
          <c:smooth val="0"/>
        </c:ser>
        <c:ser>
          <c:idx val="9"/>
          <c:order val="10"/>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RECalcs!$V$52:$V$72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RECalcs!$W$52:$W$72</c:f>
              <c:numCache>
                <c:ptCount val="21"/>
                <c:pt idx="0">
                  <c:v>0.3798845392855843</c:v>
                </c:pt>
                <c:pt idx="1">
                  <c:v>0.375907656405325</c:v>
                </c:pt>
                <c:pt idx="2">
                  <c:v>0.37193077352506565</c:v>
                </c:pt>
                <c:pt idx="3">
                  <c:v>0.36795389064480627</c:v>
                </c:pt>
                <c:pt idx="4">
                  <c:v>0.36397700776454694</c:v>
                </c:pt>
                <c:pt idx="5">
                  <c:v>0.3600001248842876</c:v>
                </c:pt>
                <c:pt idx="6">
                  <c:v>0.3560232420040283</c:v>
                </c:pt>
                <c:pt idx="7">
                  <c:v>0.3520463591237689</c:v>
                </c:pt>
                <c:pt idx="8">
                  <c:v>0.3480694762435096</c:v>
                </c:pt>
                <c:pt idx="9">
                  <c:v>0.34409259336325027</c:v>
                </c:pt>
                <c:pt idx="10">
                  <c:v>0.34011571048299094</c:v>
                </c:pt>
                <c:pt idx="11">
                  <c:v>0.3361388276027315</c:v>
                </c:pt>
                <c:pt idx="12">
                  <c:v>0.3321619447224722</c:v>
                </c:pt>
                <c:pt idx="13">
                  <c:v>0.32818506184221286</c:v>
                </c:pt>
                <c:pt idx="14">
                  <c:v>0.32420817896195353</c:v>
                </c:pt>
                <c:pt idx="15">
                  <c:v>0.32023129608169415</c:v>
                </c:pt>
                <c:pt idx="16">
                  <c:v>0.3162544132014348</c:v>
                </c:pt>
                <c:pt idx="17">
                  <c:v>0.3122775303211755</c:v>
                </c:pt>
                <c:pt idx="18">
                  <c:v>0.3083006474409162</c:v>
                </c:pt>
                <c:pt idx="19">
                  <c:v>0.3043237645606568</c:v>
                </c:pt>
                <c:pt idx="20">
                  <c:v>0.30034688168039747</c:v>
                </c:pt>
              </c:numCache>
            </c:numRef>
          </c:yVal>
          <c:smooth val="0"/>
        </c:ser>
        <c:ser>
          <c:idx val="10"/>
          <c:order val="11"/>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RECalcs!$AB$52:$AB$72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RECalcs!$AC$52:$AC$72</c:f>
              <c:numCache>
                <c:ptCount val="21"/>
                <c:pt idx="0">
                  <c:v>0.3099642202048824</c:v>
                </c:pt>
                <c:pt idx="1">
                  <c:v>0.3063929041596055</c:v>
                </c:pt>
                <c:pt idx="2">
                  <c:v>0.30282158811432863</c:v>
                </c:pt>
                <c:pt idx="3">
                  <c:v>0.29925027206905175</c:v>
                </c:pt>
                <c:pt idx="4">
                  <c:v>0.2956789560237749</c:v>
                </c:pt>
                <c:pt idx="5">
                  <c:v>0.29210763997849803</c:v>
                </c:pt>
                <c:pt idx="6">
                  <c:v>0.2885363239332212</c:v>
                </c:pt>
                <c:pt idx="7">
                  <c:v>0.28496500788794427</c:v>
                </c:pt>
                <c:pt idx="8">
                  <c:v>0.2813936918426674</c:v>
                </c:pt>
                <c:pt idx="9">
                  <c:v>0.27782237579739055</c:v>
                </c:pt>
                <c:pt idx="10">
                  <c:v>0.27425105975211367</c:v>
                </c:pt>
                <c:pt idx="11">
                  <c:v>0.2706797437068368</c:v>
                </c:pt>
                <c:pt idx="12">
                  <c:v>0.2671084276615599</c:v>
                </c:pt>
                <c:pt idx="13">
                  <c:v>0.26353711161628307</c:v>
                </c:pt>
                <c:pt idx="14">
                  <c:v>0.2599657955710062</c:v>
                </c:pt>
                <c:pt idx="15">
                  <c:v>0.25639447952572936</c:v>
                </c:pt>
                <c:pt idx="16">
                  <c:v>0.2528231634804524</c:v>
                </c:pt>
                <c:pt idx="17">
                  <c:v>0.24925184743517553</c:v>
                </c:pt>
                <c:pt idx="18">
                  <c:v>0.2456805313898987</c:v>
                </c:pt>
                <c:pt idx="19">
                  <c:v>0.2421092153446218</c:v>
                </c:pt>
                <c:pt idx="20">
                  <c:v>0.23853789929934496</c:v>
                </c:pt>
              </c:numCache>
            </c:numRef>
          </c:yVal>
          <c:smooth val="0"/>
        </c:ser>
        <c:ser>
          <c:idx val="11"/>
          <c:order val="12"/>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RECalcs!$AH$52:$AH$72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RECalcs!$AI$52:$AI$72</c:f>
              <c:numCache>
                <c:ptCount val="21"/>
                <c:pt idx="0">
                  <c:v>0.24614603129477927</c:v>
                </c:pt>
                <c:pt idx="1">
                  <c:v>0.2429845896729896</c:v>
                </c:pt>
                <c:pt idx="2">
                  <c:v>0.23982314805119995</c:v>
                </c:pt>
                <c:pt idx="3">
                  <c:v>0.23666170642941028</c:v>
                </c:pt>
                <c:pt idx="4">
                  <c:v>0.23350026480762065</c:v>
                </c:pt>
                <c:pt idx="5">
                  <c:v>0.230338823185831</c:v>
                </c:pt>
                <c:pt idx="6">
                  <c:v>0.22717738156404133</c:v>
                </c:pt>
                <c:pt idx="7">
                  <c:v>0.22401593994225164</c:v>
                </c:pt>
                <c:pt idx="8">
                  <c:v>0.22085449832046197</c:v>
                </c:pt>
                <c:pt idx="9">
                  <c:v>0.21769305669867234</c:v>
                </c:pt>
                <c:pt idx="10">
                  <c:v>0.21453161507688268</c:v>
                </c:pt>
                <c:pt idx="11">
                  <c:v>0.211370173455093</c:v>
                </c:pt>
                <c:pt idx="12">
                  <c:v>0.20820873183330335</c:v>
                </c:pt>
                <c:pt idx="13">
                  <c:v>0.20504729021151372</c:v>
                </c:pt>
                <c:pt idx="14">
                  <c:v>0.20188584858972405</c:v>
                </c:pt>
                <c:pt idx="15">
                  <c:v>0.1987244069679344</c:v>
                </c:pt>
                <c:pt idx="16">
                  <c:v>0.19556296534614473</c:v>
                </c:pt>
                <c:pt idx="17">
                  <c:v>0.1924015237243551</c:v>
                </c:pt>
                <c:pt idx="18">
                  <c:v>0.18924008210256543</c:v>
                </c:pt>
                <c:pt idx="19">
                  <c:v>0.18607864048077577</c:v>
                </c:pt>
                <c:pt idx="20">
                  <c:v>0.1829171988589861</c:v>
                </c:pt>
              </c:numCache>
            </c:numRef>
          </c:yVal>
          <c:smooth val="0"/>
        </c:ser>
        <c:ser>
          <c:idx val="12"/>
          <c:order val="13"/>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RECalcs!$AN$52:$AN$72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RECalcs!$AO$52:$AO$72</c:f>
              <c:numCache>
                <c:ptCount val="21"/>
                <c:pt idx="0">
                  <c:v>0.18913479591844662</c:v>
                </c:pt>
                <c:pt idx="1">
                  <c:v>0.1863845042972247</c:v>
                </c:pt>
                <c:pt idx="2">
                  <c:v>0.1836342126760028</c:v>
                </c:pt>
                <c:pt idx="3">
                  <c:v>0.18088392105478088</c:v>
                </c:pt>
                <c:pt idx="4">
                  <c:v>0.17813362943355895</c:v>
                </c:pt>
                <c:pt idx="5">
                  <c:v>0.17538333781233703</c:v>
                </c:pt>
                <c:pt idx="6">
                  <c:v>0.1726330461911151</c:v>
                </c:pt>
                <c:pt idx="7">
                  <c:v>0.16988275456989319</c:v>
                </c:pt>
                <c:pt idx="8">
                  <c:v>0.16713246294867126</c:v>
                </c:pt>
                <c:pt idx="9">
                  <c:v>0.16438217132744934</c:v>
                </c:pt>
                <c:pt idx="10">
                  <c:v>0.16163187970622742</c:v>
                </c:pt>
                <c:pt idx="11">
                  <c:v>0.1588815880850055</c:v>
                </c:pt>
                <c:pt idx="12">
                  <c:v>0.15613129646378357</c:v>
                </c:pt>
                <c:pt idx="13">
                  <c:v>0.15338100484256162</c:v>
                </c:pt>
                <c:pt idx="14">
                  <c:v>0.1506307132213397</c:v>
                </c:pt>
                <c:pt idx="15">
                  <c:v>0.14788042160011777</c:v>
                </c:pt>
                <c:pt idx="16">
                  <c:v>0.14513012997889588</c:v>
                </c:pt>
                <c:pt idx="17">
                  <c:v>0.14237983835767395</c:v>
                </c:pt>
                <c:pt idx="18">
                  <c:v>0.13962954673645203</c:v>
                </c:pt>
                <c:pt idx="19">
                  <c:v>0.1368792551152301</c:v>
                </c:pt>
                <c:pt idx="20">
                  <c:v>0.13412896349400819</c:v>
                </c:pt>
              </c:numCache>
            </c:numRef>
          </c:yVal>
          <c:smooth val="0"/>
        </c:ser>
        <c:ser>
          <c:idx val="13"/>
          <c:order val="14"/>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RECalcs!$AT$52:$AT$72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RECalcs!$AU$52:$AU$72</c:f>
              <c:numCache>
                <c:ptCount val="21"/>
                <c:pt idx="0">
                  <c:v>0.1395554301608354</c:v>
                </c:pt>
                <c:pt idx="1">
                  <c:v>0.13721355551543724</c:v>
                </c:pt>
                <c:pt idx="2">
                  <c:v>0.13487168087003906</c:v>
                </c:pt>
                <c:pt idx="3">
                  <c:v>0.1325298062246409</c:v>
                </c:pt>
                <c:pt idx="4">
                  <c:v>0.1301879315792427</c:v>
                </c:pt>
                <c:pt idx="5">
                  <c:v>0.12784605693384454</c:v>
                </c:pt>
                <c:pt idx="6">
                  <c:v>0.12550418228844637</c:v>
                </c:pt>
                <c:pt idx="7">
                  <c:v>0.12316230764304818</c:v>
                </c:pt>
                <c:pt idx="8">
                  <c:v>0.12082043299765001</c:v>
                </c:pt>
                <c:pt idx="9">
                  <c:v>0.11847855835225182</c:v>
                </c:pt>
                <c:pt idx="10">
                  <c:v>0.11613668370685365</c:v>
                </c:pt>
                <c:pt idx="11">
                  <c:v>0.11379480906145546</c:v>
                </c:pt>
                <c:pt idx="12">
                  <c:v>0.11145293441605729</c:v>
                </c:pt>
                <c:pt idx="13">
                  <c:v>0.1091110597706591</c:v>
                </c:pt>
                <c:pt idx="14">
                  <c:v>0.10676918512526093</c:v>
                </c:pt>
                <c:pt idx="15">
                  <c:v>0.10442731047986276</c:v>
                </c:pt>
                <c:pt idx="16">
                  <c:v>0.10208543583446458</c:v>
                </c:pt>
                <c:pt idx="17">
                  <c:v>0.0997435611890664</c:v>
                </c:pt>
                <c:pt idx="18">
                  <c:v>0.09740168654366824</c:v>
                </c:pt>
                <c:pt idx="19">
                  <c:v>0.09505981189827005</c:v>
                </c:pt>
                <c:pt idx="20">
                  <c:v>0.09271793725287188</c:v>
                </c:pt>
              </c:numCache>
            </c:numRef>
          </c:yVal>
          <c:smooth val="0"/>
        </c:ser>
        <c:ser>
          <c:idx val="14"/>
          <c:order val="15"/>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RECalcs!$AZ$52:$AZ$72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RECalcs!$BA$52:$BA$72</c:f>
              <c:numCache>
                <c:ptCount val="21"/>
                <c:pt idx="0">
                  <c:v>0.09788540192272117</c:v>
                </c:pt>
                <c:pt idx="1">
                  <c:v>0.09594401234665599</c:v>
                </c:pt>
                <c:pt idx="2">
                  <c:v>0.09400262277059078</c:v>
                </c:pt>
                <c:pt idx="3">
                  <c:v>0.0920612331945256</c:v>
                </c:pt>
                <c:pt idx="4">
                  <c:v>0.0901198436184604</c:v>
                </c:pt>
                <c:pt idx="5">
                  <c:v>0.08817845404239522</c:v>
                </c:pt>
                <c:pt idx="6">
                  <c:v>0.08623706446633003</c:v>
                </c:pt>
                <c:pt idx="7">
                  <c:v>0.08429567489026482</c:v>
                </c:pt>
                <c:pt idx="8">
                  <c:v>0.08235428531419964</c:v>
                </c:pt>
                <c:pt idx="9">
                  <c:v>0.08041289573813444</c:v>
                </c:pt>
                <c:pt idx="10">
                  <c:v>0.07847150616206924</c:v>
                </c:pt>
                <c:pt idx="11">
                  <c:v>0.07653011658600406</c:v>
                </c:pt>
                <c:pt idx="12">
                  <c:v>0.07458872700993886</c:v>
                </c:pt>
                <c:pt idx="13">
                  <c:v>0.07264733743387367</c:v>
                </c:pt>
                <c:pt idx="14">
                  <c:v>0.07070594785780847</c:v>
                </c:pt>
                <c:pt idx="15">
                  <c:v>0.06876455828174328</c:v>
                </c:pt>
                <c:pt idx="16">
                  <c:v>0.0668231687056781</c:v>
                </c:pt>
                <c:pt idx="17">
                  <c:v>0.0648817791296129</c:v>
                </c:pt>
                <c:pt idx="18">
                  <c:v>0.06294038955354771</c:v>
                </c:pt>
                <c:pt idx="19">
                  <c:v>0.06099899997748251</c:v>
                </c:pt>
                <c:pt idx="20">
                  <c:v>0.05905761040141732</c:v>
                </c:pt>
              </c:numCache>
            </c:numRef>
          </c:yVal>
          <c:smooth val="0"/>
        </c:ser>
        <c:ser>
          <c:idx val="15"/>
          <c:order val="16"/>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RECalcs!$BF$52:$BF$72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RECalcs!$BG$52:$BG$72</c:f>
              <c:numCache>
                <c:ptCount val="21"/>
                <c:pt idx="0">
                  <c:v>0.06437005476809311</c:v>
                </c:pt>
                <c:pt idx="1">
                  <c:v>0.06281461757904289</c:v>
                </c:pt>
                <c:pt idx="2">
                  <c:v>0.06125918038999266</c:v>
                </c:pt>
                <c:pt idx="3">
                  <c:v>0.05970374320094245</c:v>
                </c:pt>
                <c:pt idx="4">
                  <c:v>0.05814830601189223</c:v>
                </c:pt>
                <c:pt idx="5">
                  <c:v>0.05659286882284201</c:v>
                </c:pt>
                <c:pt idx="6">
                  <c:v>0.05503743163379179</c:v>
                </c:pt>
                <c:pt idx="7">
                  <c:v>0.05348199444474156</c:v>
                </c:pt>
                <c:pt idx="8">
                  <c:v>0.05192655725569134</c:v>
                </c:pt>
                <c:pt idx="9">
                  <c:v>0.05037112006664113</c:v>
                </c:pt>
                <c:pt idx="10">
                  <c:v>0.048815682877590895</c:v>
                </c:pt>
                <c:pt idx="11">
                  <c:v>0.04726024568854068</c:v>
                </c:pt>
                <c:pt idx="12">
                  <c:v>0.04570480849949046</c:v>
                </c:pt>
                <c:pt idx="13">
                  <c:v>0.04414937131044024</c:v>
                </c:pt>
                <c:pt idx="14">
                  <c:v>0.042593934121390016</c:v>
                </c:pt>
                <c:pt idx="15">
                  <c:v>0.0410384969323398</c:v>
                </c:pt>
                <c:pt idx="16">
                  <c:v>0.03948305974328958</c:v>
                </c:pt>
                <c:pt idx="17">
                  <c:v>0.03792762255423936</c:v>
                </c:pt>
                <c:pt idx="18">
                  <c:v>0.036372185365189144</c:v>
                </c:pt>
                <c:pt idx="19">
                  <c:v>0.03481674817613892</c:v>
                </c:pt>
                <c:pt idx="20">
                  <c:v>0.0332613109870887</c:v>
                </c:pt>
              </c:numCache>
            </c:numRef>
          </c:yVal>
          <c:smooth val="0"/>
        </c:ser>
        <c:ser>
          <c:idx val="16"/>
          <c:order val="17"/>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RECalcs!$BL$52:$BL$72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RECalcs!$BM$52:$BM$72</c:f>
              <c:numCache>
                <c:ptCount val="21"/>
                <c:pt idx="0">
                  <c:v>0.038926290459251806</c:v>
                </c:pt>
                <c:pt idx="1">
                  <c:v>0.03773411488337607</c:v>
                </c:pt>
                <c:pt idx="2">
                  <c:v>0.03654193930750035</c:v>
                </c:pt>
                <c:pt idx="3">
                  <c:v>0.035349763731624614</c:v>
                </c:pt>
                <c:pt idx="4">
                  <c:v>0.03415758815574889</c:v>
                </c:pt>
                <c:pt idx="5">
                  <c:v>0.032965412579873156</c:v>
                </c:pt>
                <c:pt idx="6">
                  <c:v>0.03177323700399743</c:v>
                </c:pt>
                <c:pt idx="7">
                  <c:v>0.030581061428121694</c:v>
                </c:pt>
                <c:pt idx="8">
                  <c:v>0.029388885852245968</c:v>
                </c:pt>
                <c:pt idx="9">
                  <c:v>0.02819671027637024</c:v>
                </c:pt>
                <c:pt idx="10">
                  <c:v>0.02700453470049451</c:v>
                </c:pt>
                <c:pt idx="11">
                  <c:v>0.025812359124618777</c:v>
                </c:pt>
                <c:pt idx="12">
                  <c:v>0.02462018354874305</c:v>
                </c:pt>
                <c:pt idx="13">
                  <c:v>0.02342800797286732</c:v>
                </c:pt>
                <c:pt idx="14">
                  <c:v>0.02223583239699159</c:v>
                </c:pt>
                <c:pt idx="15">
                  <c:v>0.02104365682111586</c:v>
                </c:pt>
                <c:pt idx="16">
                  <c:v>0.019851481245240127</c:v>
                </c:pt>
                <c:pt idx="17">
                  <c:v>0.0186593056693644</c:v>
                </c:pt>
                <c:pt idx="18">
                  <c:v>0.017467130093488673</c:v>
                </c:pt>
                <c:pt idx="19">
                  <c:v>0.01627495451761294</c:v>
                </c:pt>
                <c:pt idx="20">
                  <c:v>0.01508277894173721</c:v>
                </c:pt>
              </c:numCache>
            </c:numRef>
          </c:yVal>
          <c:smooth val="0"/>
        </c:ser>
        <c:ser>
          <c:idx val="17"/>
          <c:order val="18"/>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RECalcs!$BR$52:$BR$72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RECalcs!$BS$52:$BS$72</c:f>
              <c:numCache>
                <c:ptCount val="21"/>
                <c:pt idx="0">
                  <c:v>0.021050370589589452</c:v>
                </c:pt>
                <c:pt idx="1">
                  <c:v>0.020189062410489875</c:v>
                </c:pt>
                <c:pt idx="2">
                  <c:v>0.0193277542313903</c:v>
                </c:pt>
                <c:pt idx="3">
                  <c:v>0.018466446052290718</c:v>
                </c:pt>
                <c:pt idx="4">
                  <c:v>0.01760513787319114</c:v>
                </c:pt>
                <c:pt idx="5">
                  <c:v>0.016743829694091564</c:v>
                </c:pt>
                <c:pt idx="6">
                  <c:v>0.015882521514991983</c:v>
                </c:pt>
                <c:pt idx="7">
                  <c:v>0.015021213335892406</c:v>
                </c:pt>
                <c:pt idx="8">
                  <c:v>0.014159905156792827</c:v>
                </c:pt>
                <c:pt idx="9">
                  <c:v>0.01329859697769325</c:v>
                </c:pt>
                <c:pt idx="10">
                  <c:v>0.012437288798593672</c:v>
                </c:pt>
                <c:pt idx="11">
                  <c:v>0.011575980619494095</c:v>
                </c:pt>
                <c:pt idx="12">
                  <c:v>0.010714672440394516</c:v>
                </c:pt>
                <c:pt idx="13">
                  <c:v>0.009853364261294937</c:v>
                </c:pt>
                <c:pt idx="14">
                  <c:v>0.008992056082195358</c:v>
                </c:pt>
                <c:pt idx="15">
                  <c:v>0.008130747903095781</c:v>
                </c:pt>
                <c:pt idx="16">
                  <c:v>0.007269439723996203</c:v>
                </c:pt>
                <c:pt idx="17">
                  <c:v>0.006408131544896623</c:v>
                </c:pt>
                <c:pt idx="18">
                  <c:v>0.0055468233657970465</c:v>
                </c:pt>
                <c:pt idx="19">
                  <c:v>0.004685515186697469</c:v>
                </c:pt>
                <c:pt idx="20">
                  <c:v>0.0038242070075978902</c:v>
                </c:pt>
              </c:numCache>
            </c:numRef>
          </c:yVal>
          <c:smooth val="0"/>
        </c:ser>
        <c:axId val="20521642"/>
        <c:axId val="50477051"/>
      </c:scatterChart>
      <c:valAx>
        <c:axId val="20521642"/>
        <c:scaling>
          <c:orientation val="minMax"/>
          <c:max val="0.2"/>
        </c:scaling>
        <c:axPos val="b"/>
        <c:title>
          <c:tx>
            <c:rich>
              <a:bodyPr vert="horz" rot="0" anchor="ctr"/>
              <a:lstStyle/>
              <a:p>
                <a:pPr algn="ctr">
                  <a:defRPr/>
                </a:pPr>
                <a:r>
                  <a:rPr lang="en-US" cap="none" sz="2000" b="1" i="0" u="none" baseline="0">
                    <a:solidFill>
                      <a:srgbClr val="000000"/>
                    </a:solidFill>
                    <a:latin typeface="Verdana"/>
                    <a:ea typeface="Verdana"/>
                    <a:cs typeface="Verdana"/>
                  </a:rPr>
                  <a:t>X</a:t>
                </a:r>
                <a:r>
                  <a:rPr lang="en-US" cap="none" sz="2000" b="1" i="0" u="none" baseline="-25000">
                    <a:solidFill>
                      <a:srgbClr val="000000"/>
                    </a:solidFill>
                    <a:latin typeface="Verdana"/>
                    <a:ea typeface="Verdana"/>
                    <a:cs typeface="Verdana"/>
                  </a:rPr>
                  <a:t>Fe</a:t>
                </a:r>
              </a:p>
            </c:rich>
          </c:tx>
          <c:layout>
            <c:manualLayout>
              <c:xMode val="factor"/>
              <c:yMode val="factor"/>
              <c:x val="0"/>
              <c:y val="-0.00125"/>
            </c:manualLayout>
          </c:layout>
          <c:overlay val="0"/>
          <c:spPr>
            <a:noFill/>
            <a:ln>
              <a:noFill/>
            </a:ln>
          </c:spPr>
        </c:title>
        <c:delete val="0"/>
        <c:numFmt formatCode="General" sourceLinked="1"/>
        <c:majorTickMark val="in"/>
        <c:minorTickMark val="in"/>
        <c:tickLblPos val="nextTo"/>
        <c:spPr>
          <a:ln w="25400">
            <a:solidFill>
              <a:srgbClr val="000000"/>
            </a:solidFill>
          </a:ln>
        </c:spPr>
        <c:crossAx val="50477051"/>
        <c:crosses val="autoZero"/>
        <c:crossBetween val="midCat"/>
        <c:dispUnits/>
      </c:valAx>
      <c:valAx>
        <c:axId val="50477051"/>
        <c:scaling>
          <c:orientation val="minMax"/>
          <c:max val="0.6"/>
          <c:min val="0"/>
        </c:scaling>
        <c:axPos val="l"/>
        <c:title>
          <c:tx>
            <c:rich>
              <a:bodyPr vert="horz" rot="-5400000" anchor="ctr"/>
              <a:lstStyle/>
              <a:p>
                <a:pPr algn="ctr">
                  <a:defRPr/>
                </a:pPr>
                <a:r>
                  <a:rPr lang="en-US" cap="none" sz="2000" b="1" i="0" u="none" baseline="0">
                    <a:solidFill>
                      <a:srgbClr val="000000"/>
                    </a:solidFill>
                    <a:latin typeface="Verdana"/>
                    <a:ea typeface="Verdana"/>
                    <a:cs typeface="Verdana"/>
                  </a:rPr>
                  <a:t>X</a:t>
                </a:r>
                <a:r>
                  <a:rPr lang="en-US" cap="none" sz="2000" b="1" i="0" u="none" baseline="-25000">
                    <a:solidFill>
                      <a:srgbClr val="000000"/>
                    </a:solidFill>
                    <a:latin typeface="Verdana"/>
                    <a:ea typeface="Verdana"/>
                    <a:cs typeface="Verdana"/>
                  </a:rPr>
                  <a:t>Mg</a:t>
                </a:r>
              </a:p>
            </c:rich>
          </c:tx>
          <c:layout>
            <c:manualLayout>
              <c:xMode val="factor"/>
              <c:yMode val="factor"/>
              <c:x val="-0.00675"/>
              <c:y val="0.0015"/>
            </c:manualLayout>
          </c:layout>
          <c:overlay val="0"/>
          <c:spPr>
            <a:noFill/>
            <a:ln>
              <a:noFill/>
            </a:ln>
          </c:spPr>
        </c:title>
        <c:delete val="0"/>
        <c:numFmt formatCode="General" sourceLinked="1"/>
        <c:majorTickMark val="in"/>
        <c:minorTickMark val="in"/>
        <c:tickLblPos val="nextTo"/>
        <c:spPr>
          <a:ln w="25400">
            <a:solidFill>
              <a:srgbClr val="000000"/>
            </a:solidFill>
          </a:ln>
        </c:spPr>
        <c:crossAx val="20521642"/>
        <c:crosses val="autoZero"/>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Verdana"/>
          <a:ea typeface="Verdana"/>
          <a:cs typeface="Verdana"/>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64"/>
  </sheetViews>
  <pageMargins left="0.75" right="0.75" top="1" bottom="1" header="0.5" footer="0.5"/>
  <pageSetup horizontalDpi="300" verticalDpi="300" orientation="portrait"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70"/>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2</xdr:row>
      <xdr:rowOff>76200</xdr:rowOff>
    </xdr:from>
    <xdr:to>
      <xdr:col>11</xdr:col>
      <xdr:colOff>352425</xdr:colOff>
      <xdr:row>113</xdr:row>
      <xdr:rowOff>76200</xdr:rowOff>
    </xdr:to>
    <xdr:sp>
      <xdr:nvSpPr>
        <xdr:cNvPr id="1" name="TextBox 1"/>
        <xdr:cNvSpPr txBox="1">
          <a:spLocks noChangeArrowheads="1"/>
        </xdr:cNvSpPr>
      </xdr:nvSpPr>
      <xdr:spPr>
        <a:xfrm>
          <a:off x="914400" y="457200"/>
          <a:ext cx="11172825" cy="21145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1" u="none" baseline="0">
              <a:solidFill>
                <a:srgbClr val="000000"/>
              </a:solidFill>
              <a:latin typeface="Calibri"/>
              <a:ea typeface="Calibri"/>
              <a:cs typeface="Calibri"/>
            </a:rPr>
            <a:t>Instructions for Estimating T Using Olivine- and Glass-based Thermometers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G-R (in “Olivine-liq thermometry”), leaving blank any oxides that are not available. The “liquid” could be the composition of a glass, or the whole rock, or some calculated composition. If you are not using an olivine composition, temperature estimates based on liquid or glass-only models appear in columns U – Z. Be sure to input an appropriate pressure in column C.
If you are using olivine-liquid equilibrium, enter an olivine composition in columns AB – AM (in “Olivine-liq thermometry”). This olivine should be in equilibrium with the liquid entered in columns G – R (in “Olivine-liq thermometry”). If you only have the Fo content of an olivine, and not the weight % oxides, as are needed, then see instructions for use of the spreadsheet “Mg# Worksheet” below.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sng" baseline="0">
              <a:solidFill>
                <a:srgbClr val="000000"/>
              </a:solidFill>
              <a:latin typeface="Calibri"/>
              <a:ea typeface="Calibri"/>
              <a:cs typeface="Calibri"/>
            </a:rPr>
            <a:t>FeO</a:t>
          </a:r>
          <a:r>
            <a:rPr lang="en-US" cap="none" sz="1200" b="0" i="0" u="none" baseline="0">
              <a:solidFill>
                <a:srgbClr val="000000"/>
              </a:solidFill>
              <a:latin typeface="Calibri"/>
              <a:ea typeface="Calibri"/>
              <a:cs typeface="Calibri"/>
            </a:rPr>
            <a:t>
Input for Fe (for liquid compositions) is taken as FeO, and nominally assumes that FeO = FeOt, although this can be changed. Variations in Fe(3+)/Fe(2+) ratios have a near trivial impact on temperatures derived from olivine thermometers based on D(Mg), but </a:t>
          </a:r>
          <a:r>
            <a:rPr lang="en-US" cap="none" sz="1200" b="0" i="1" u="none" baseline="0">
              <a:solidFill>
                <a:srgbClr val="000000"/>
              </a:solidFill>
              <a:latin typeface="Calibri"/>
              <a:ea typeface="Calibri"/>
              <a:cs typeface="Calibri"/>
            </a:rPr>
            <a:t>f</a:t>
          </a:r>
          <a:r>
            <a:rPr lang="en-US" cap="none" sz="1200" b="0" i="0" u="none" baseline="0">
              <a:solidFill>
                <a:srgbClr val="000000"/>
              </a:solidFill>
              <a:latin typeface="Calibri"/>
              <a:ea typeface="Calibri"/>
              <a:cs typeface="Calibri"/>
            </a:rPr>
            <a:t>O</a:t>
          </a:r>
          <a:r>
            <a:rPr lang="en-US" cap="none" sz="1200" b="0" i="0" u="none" baseline="-25000">
              <a:solidFill>
                <a:srgbClr val="000000"/>
              </a:solidFill>
              <a:latin typeface="Calibri"/>
              <a:ea typeface="Calibri"/>
              <a:cs typeface="Calibri"/>
            </a:rPr>
            <a:t>2</a:t>
          </a:r>
          <a:r>
            <a:rPr lang="en-US" cap="none" sz="1200" b="0" i="0" u="none" baseline="0">
              <a:solidFill>
                <a:srgbClr val="000000"/>
              </a:solidFill>
              <a:latin typeface="Calibri"/>
              <a:ea typeface="Calibri"/>
              <a:cs typeface="Calibri"/>
            </a:rPr>
            <a:t> is an important consideration when calculating primitive liquid compositions from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 relationships. In any case, if FeOt is entered in row J, and FeO does not equal FeOt, then enter the fraction of FeOt that represents FeO in cell N11; in most cases, 0.9 will be roughly appropriate for </a:t>
          </a:r>
          <a:r>
            <a:rPr lang="en-US" cap="none" sz="1200" b="0" i="1" u="none" baseline="0">
              <a:solidFill>
                <a:srgbClr val="000000"/>
              </a:solidFill>
              <a:latin typeface="Calibri"/>
              <a:ea typeface="Calibri"/>
              <a:cs typeface="Calibri"/>
            </a:rPr>
            <a:t>f</a:t>
          </a:r>
          <a:r>
            <a:rPr lang="en-US" cap="none" sz="1200" b="0" i="0" u="none" baseline="0">
              <a:solidFill>
                <a:srgbClr val="000000"/>
              </a:solidFill>
              <a:latin typeface="Calibri"/>
              <a:ea typeface="Calibri"/>
              <a:cs typeface="Calibri"/>
            </a:rPr>
            <a:t>O</a:t>
          </a:r>
          <a:r>
            <a:rPr lang="en-US" cap="none" sz="1200" b="0" i="0" u="none" baseline="-25000">
              <a:solidFill>
                <a:srgbClr val="000000"/>
              </a:solidFill>
              <a:latin typeface="Calibri"/>
              <a:ea typeface="Calibri"/>
              <a:cs typeface="Calibri"/>
            </a:rPr>
            <a:t>2</a:t>
          </a:r>
          <a:r>
            <a:rPr lang="en-US" cap="none" sz="1200" b="0" i="0" u="none" baseline="0">
              <a:solidFill>
                <a:srgbClr val="000000"/>
              </a:solidFill>
              <a:latin typeface="Calibri"/>
              <a:ea typeface="Calibri"/>
              <a:cs typeface="Calibri"/>
            </a:rPr>
            <a:t> conditions between Ni-NiO and quartz-fayalite-magnetite, or wustite-magnetite  (or 0.89; see Rhodes and Vollinger, 2005, CMP, and Bezoa and Hummler, 2005, G</a:t>
          </a:r>
          <a:r>
            <a:rPr lang="en-US" cap="none" sz="1200" b="0" i="0" u="none" baseline="3000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some equations may be solved simultaneously by numerical methods. Please make certain that under Excel – Preferences – Calculations, that “Iterative” calculations are allowed, otherwise Excel will report a “Circular reference” error. 
</a:t>
          </a:r>
          <a:r>
            <a:rPr lang="en-US" cap="none" sz="1200" b="0" i="0" u="sng" baseline="0">
              <a:solidFill>
                <a:srgbClr val="000000"/>
              </a:solidFill>
              <a:latin typeface="Calibri"/>
              <a:ea typeface="Calibri"/>
              <a:cs typeface="Calibri"/>
            </a:rPr>
            <a:t>T calculations
</a:t>
          </a:r>
          <a:r>
            <a:rPr lang="en-US" cap="none" sz="1200" b="0" i="0" u="none" baseline="0">
              <a:solidFill>
                <a:srgbClr val="000000"/>
              </a:solidFill>
              <a:latin typeface="Calibri"/>
              <a:ea typeface="Calibri"/>
              <a:cs typeface="Calibri"/>
            </a:rPr>
            <a:t>The thermometers in columns U – Z  (in “Olivine-liq thermometry”) are in some cases based only on composition, while others use P as input. None require an olivine composition as input, though all assume that the liquid is in equilibrium with an olivine (or some other phase that controls Mg#?) of some composition or another.   
T estimates based  on olivine-liquid equilibrium are shown in columns AV – AZ. Tests involving more than 1200 experimental data show that the two best models here are by Beattie (1993) (see columns AV – AW in “Olivine-liq thermometry”) and by Putirka et al. (2007), Eqn. 4 (see column AX  in “Olivine-liq thermometry”).
</a:t>
          </a:r>
          <a:r>
            <a:rPr lang="en-US" cap="none" sz="1200" b="0" i="0" u="sng" baseline="0">
              <a:solidFill>
                <a:srgbClr val="000000"/>
              </a:solidFill>
              <a:latin typeface="Calibri"/>
              <a:ea typeface="Calibri"/>
              <a:cs typeface="Calibri"/>
            </a:rPr>
            <a:t>Graphical Olivine Thermometry
</a:t>
          </a:r>
          <a:r>
            <a:rPr lang="en-US" cap="none" sz="1200" b="0" i="0" u="none" baseline="0">
              <a:solidFill>
                <a:srgbClr val="000000"/>
              </a:solidFill>
              <a:latin typeface="Calibri"/>
              <a:ea typeface="Calibri"/>
              <a:cs typeface="Calibri"/>
            </a:rPr>
            <a:t>Another method to estimate T is to use the graphical method introduced by Roeder and Emslie (1970). This approach, in an updated version, is portrayed in the sheet titled “R&amp;E Chart” and is based on calculations shown in “RECalcs”; the latter uses models from Putirka et al. (2007) to calculate isotherms. Isopleths for constant forsterite (Fo) contents are also given in RECalcs. To use this graphical method, copy and paste the contents of columns BQ and BS from “Olivine-liq thermometry” into “R&amp;E Chart”. For any given liquid composition (i.e., for each point), the plot yields the T at which the liquid will be saturated with olivine (from the isotherms) as well as the composition of the olivine that will crystallize (from the Fo isopleths).  These isotherms are sensitive to pressure. To change any of the coefficients used to calculate the isotherms, see cells B8 – B14 in RECalcs. To change just the pressure,  edit cell B14 in RECalcs.
</a:t>
          </a:r>
          <a:r>
            <a:rPr lang="en-US" cap="none" sz="1200" b="0" i="0" u="sng" baseline="0">
              <a:solidFill>
                <a:srgbClr val="000000"/>
              </a:solidFill>
              <a:latin typeface="Calibri"/>
              <a:ea typeface="Calibri"/>
              <a:cs typeface="Calibri"/>
            </a:rPr>
            <a:t>Mantle Potential Temperatures
</a:t>
          </a:r>
          <a:r>
            <a:rPr lang="en-US" cap="none" sz="1200" b="0" i="0" u="none" baseline="0">
              <a:solidFill>
                <a:srgbClr val="000000"/>
              </a:solidFill>
              <a:latin typeface="Calibri"/>
              <a:ea typeface="Calibri"/>
              <a:cs typeface="Calibri"/>
            </a:rPr>
            <a:t>The sheet RECalcs also calculates the mantle potential temperature, using parameters used in Putirka (2008). To obtain a mantle potential temperature, enter a mantle mineral-liquid equilibrium temperature (usually, but not necessarily an olivine-liquid equilibration temperature) in cell C17. Then input the pressure at which this temperature of equilibration occurred, in cell C18. The output, the mantle potential temperature, will be given in cell C20. To change any of the thermodynamic parameters, such as the heat of fusion (cell C24) or the slope of the adiabat (cell C31) see cells C24 – C31 (note that C32 is derived from C31, so make adjustment to C31, not C32).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The very familiar test proposed by Roeder and Emslie (1970) and often portrayed in the Rhodes diagram (see chart with this name, as well as Rhodes et al., 1979) are used. The test compares the observed Fe-Mg exchange coefficient with a constant value. That value is shown in column AR (see “Olivine-liq thermometry”).
Experimental data indicate a value of 0.30±0.03, which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 To add data to this diagram, copy and past data from “Olivine-liq thermometry”, columns AO and AP, into the Rhodes Diagram chart sheet.
</a:t>
          </a:r>
          <a:r>
            <a:rPr lang="en-US" cap="none" sz="1200" b="0" i="0" u="sng" baseline="0">
              <a:solidFill>
                <a:srgbClr val="000000"/>
              </a:solidFill>
              <a:latin typeface="Calibri"/>
              <a:ea typeface="Calibri"/>
              <a:cs typeface="Calibri"/>
            </a:rPr>
            <a:t>Mg# Worksheet
</a:t>
          </a:r>
          <a:r>
            <a:rPr lang="en-US" cap="none" sz="1200" b="0" i="0" u="none" baseline="0">
              <a:solidFill>
                <a:srgbClr val="000000"/>
              </a:solidFill>
              <a:latin typeface="Calibri"/>
              <a:ea typeface="Calibri"/>
              <a:cs typeface="Calibri"/>
            </a:rPr>
            <a:t>One final tool presented here allows one to use the nominal equilibrium value for the Fe-Mg exchange coefficient to calculate the MgO content of a liquid, given the FeO content of the same liquid, and an equilibrium olivine composition. In the Mg # Worksheet, enter the value for the exchange coefficient in cell B2 (default value is 0.32). Then enter the weight % FeO content of the equilibrium liquid in cell B4. 
The MgO content of the equilibrium liquid is given in weight % values in column G. For the appropriate value, choose the row that shows the appropriate forsterite (Fo) content of olivine in column D.  For example, if the exchange coefficient is 0.32, and the FeO content of the liquid is 11.5 weight %, then the MgO content for the liquid is 8.25 weight % (cell G15), if the equilibrium olivine composition is Fo80 (cell D15)
</a:t>
          </a:r>
          <a:r>
            <a:rPr lang="en-US" cap="none" sz="1200" b="0" i="0" u="sng" baseline="0">
              <a:solidFill>
                <a:srgbClr val="000000"/>
              </a:solidFill>
              <a:latin typeface="Calibri"/>
              <a:ea typeface="Calibri"/>
              <a:cs typeface="Calibri"/>
            </a:rPr>
            <a:t>Using the Mg# Worksheet to Obtain the Weight % of an Olivine  When only Fo Content is Given
</a:t>
          </a:r>
          <a:r>
            <a:rPr lang="en-US" cap="none" sz="1200" b="0" i="0" u="none" baseline="0">
              <a:solidFill>
                <a:srgbClr val="000000"/>
              </a:solidFill>
              <a:latin typeface="Calibri"/>
              <a:ea typeface="Calibri"/>
              <a:cs typeface="Calibri"/>
            </a:rPr>
            <a:t>If the weight % value of an olivine composition is needed, the mol proportions used for these calculations are converted to weight %, with results shown in columns J – L. These cells use only the arbitrarily selected olivine compositions noted in columns A and D, so if the Fo content of an olivine is known, regardless of what liquid it comes from, the equivalent weight % oxide values are given in columns J – L. 
Al calculations are linked to the Mg/Fe ratios of olivine, which are shown in column A ; so only change the cells in column A, if you wish to change the Fo content that appears in column D – do not change the values in column D direclty. These values may be useful if the Fo content for a given olivine is reported, but you wish to estimate T using the “Olivine-liq thermometry” spreadsheet, which requires weight % values as input. If the precise Fo content is not shown in column D. Let’s say you need the weight % values for an olivine with Fo 80.05: use the “Tools - Goal Seek” command in Excel. In the Goal Seek window, “Set cell” D8, “To Value” 80.05, “By changing cell” A8, then hit RETURN.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0.49475</cdr:x>
      <cdr:y>0.5665</cdr:y>
    </cdr:from>
    <cdr:to>
      <cdr:x>0.49475</cdr:x>
      <cdr:y>0.5665</cdr:y>
    </cdr:to>
    <cdr:sp>
      <cdr:nvSpPr>
        <cdr:cNvPr id="1" name="Text Box 9"/>
        <cdr:cNvSpPr txBox="1">
          <a:spLocks noChangeArrowheads="1"/>
        </cdr:cNvSpPr>
      </cdr:nvSpPr>
      <cdr:spPr>
        <a:xfrm>
          <a:off x="3152775" y="3352800"/>
          <a:ext cx="0" cy="0"/>
        </a:xfrm>
        <a:prstGeom prst="rect">
          <a:avLst/>
        </a:prstGeom>
        <a:noFill/>
        <a:ln w="1" cmpd="sng">
          <a:noFill/>
        </a:ln>
      </cdr:spPr>
      <cdr:txBody>
        <a:bodyPr vertOverflow="clip" wrap="square" lIns="27432" tIns="22860" rIns="0" bIns="0"/>
        <a:p>
          <a:pPr algn="l">
            <a:defRPr/>
          </a:pPr>
          <a:r>
            <a:rPr lang="en-US" cap="none" sz="1200" b="0" i="0" u="none" baseline="0">
              <a:solidFill>
                <a:srgbClr val="000000"/>
              </a:solidFill>
              <a:latin typeface="Verdana"/>
              <a:ea typeface="Verdana"/>
              <a:cs typeface="Verdana"/>
            </a:rPr>
            <a:t>Fo90.3</a:t>
          </a:r>
        </a:p>
      </cdr:txBody>
    </cdr:sp>
  </cdr:relSizeAnchor>
  <cdr:relSizeAnchor xmlns:cdr="http://schemas.openxmlformats.org/drawingml/2006/chartDrawing">
    <cdr:from>
      <cdr:x>0.70075</cdr:x>
      <cdr:y>0.159</cdr:y>
    </cdr:from>
    <cdr:to>
      <cdr:x>0.765</cdr:x>
      <cdr:y>0.20125</cdr:y>
    </cdr:to>
    <cdr:sp>
      <cdr:nvSpPr>
        <cdr:cNvPr id="2" name="Text Box 14"/>
        <cdr:cNvSpPr txBox="1">
          <a:spLocks noChangeArrowheads="1"/>
        </cdr:cNvSpPr>
      </cdr:nvSpPr>
      <cdr:spPr>
        <a:xfrm>
          <a:off x="4476750" y="942975"/>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Fo90</a:t>
          </a:r>
        </a:p>
      </cdr:txBody>
    </cdr:sp>
  </cdr:relSizeAnchor>
  <cdr:relSizeAnchor xmlns:cdr="http://schemas.openxmlformats.org/drawingml/2006/chartDrawing">
    <cdr:from>
      <cdr:x>0.8095</cdr:x>
      <cdr:y>0.3445</cdr:y>
    </cdr:from>
    <cdr:to>
      <cdr:x>0.87375</cdr:x>
      <cdr:y>0.38675</cdr:y>
    </cdr:to>
    <cdr:sp>
      <cdr:nvSpPr>
        <cdr:cNvPr id="3" name="Text Box 15"/>
        <cdr:cNvSpPr txBox="1">
          <a:spLocks noChangeArrowheads="1"/>
        </cdr:cNvSpPr>
      </cdr:nvSpPr>
      <cdr:spPr>
        <a:xfrm>
          <a:off x="5172075" y="2038350"/>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Fo85</a:t>
          </a:r>
        </a:p>
      </cdr:txBody>
    </cdr:sp>
  </cdr:relSizeAnchor>
  <cdr:relSizeAnchor xmlns:cdr="http://schemas.openxmlformats.org/drawingml/2006/chartDrawing">
    <cdr:from>
      <cdr:x>0.8665</cdr:x>
      <cdr:y>0.45775</cdr:y>
    </cdr:from>
    <cdr:to>
      <cdr:x>0.93075</cdr:x>
      <cdr:y>0.5</cdr:y>
    </cdr:to>
    <cdr:sp>
      <cdr:nvSpPr>
        <cdr:cNvPr id="4" name="Text Box 16"/>
        <cdr:cNvSpPr txBox="1">
          <a:spLocks noChangeArrowheads="1"/>
        </cdr:cNvSpPr>
      </cdr:nvSpPr>
      <cdr:spPr>
        <a:xfrm>
          <a:off x="5534025" y="2714625"/>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Fo80</a:t>
          </a:r>
        </a:p>
      </cdr:txBody>
    </cdr:sp>
  </cdr:relSizeAnchor>
  <cdr:relSizeAnchor xmlns:cdr="http://schemas.openxmlformats.org/drawingml/2006/chartDrawing">
    <cdr:from>
      <cdr:x>0.81975</cdr:x>
      <cdr:y>0.56</cdr:y>
    </cdr:from>
    <cdr:to>
      <cdr:x>0.884</cdr:x>
      <cdr:y>0.60225</cdr:y>
    </cdr:to>
    <cdr:sp>
      <cdr:nvSpPr>
        <cdr:cNvPr id="5" name="Text Box 17"/>
        <cdr:cNvSpPr txBox="1">
          <a:spLocks noChangeArrowheads="1"/>
        </cdr:cNvSpPr>
      </cdr:nvSpPr>
      <cdr:spPr>
        <a:xfrm>
          <a:off x="5238750" y="3314700"/>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Fo75</a:t>
          </a:r>
        </a:p>
      </cdr:txBody>
    </cdr:sp>
  </cdr:relSizeAnchor>
  <cdr:relSizeAnchor xmlns:cdr="http://schemas.openxmlformats.org/drawingml/2006/chartDrawing">
    <cdr:from>
      <cdr:x>0.6065</cdr:x>
      <cdr:y>0.05525</cdr:y>
    </cdr:from>
    <cdr:to>
      <cdr:x>0.69925</cdr:x>
      <cdr:y>0.10275</cdr:y>
    </cdr:to>
    <cdr:sp>
      <cdr:nvSpPr>
        <cdr:cNvPr id="6" name="Text Box 18"/>
        <cdr:cNvSpPr txBox="1">
          <a:spLocks noChangeArrowheads="1"/>
        </cdr:cNvSpPr>
      </cdr:nvSpPr>
      <cdr:spPr>
        <a:xfrm>
          <a:off x="3867150" y="323850"/>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2000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0.39725</cdr:x>
      <cdr:y>0.12075</cdr:y>
    </cdr:from>
    <cdr:to>
      <cdr:x>0.4615</cdr:x>
      <cdr:y>0.163</cdr:y>
    </cdr:to>
    <cdr:sp>
      <cdr:nvSpPr>
        <cdr:cNvPr id="7" name="Text Box 19"/>
        <cdr:cNvSpPr txBox="1">
          <a:spLocks noChangeArrowheads="1"/>
        </cdr:cNvSpPr>
      </cdr:nvSpPr>
      <cdr:spPr>
        <a:xfrm>
          <a:off x="2533650" y="714375"/>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Fo95</a:t>
          </a:r>
        </a:p>
      </cdr:txBody>
    </cdr:sp>
  </cdr:relSizeAnchor>
  <cdr:relSizeAnchor xmlns:cdr="http://schemas.openxmlformats.org/drawingml/2006/chartDrawing">
    <cdr:from>
      <cdr:x>0.52475</cdr:x>
      <cdr:y>0.14075</cdr:y>
    </cdr:from>
    <cdr:to>
      <cdr:x>0.6175</cdr:x>
      <cdr:y>0.18825</cdr:y>
    </cdr:to>
    <cdr:sp>
      <cdr:nvSpPr>
        <cdr:cNvPr id="8" name="Text Box 20"/>
        <cdr:cNvSpPr txBox="1">
          <a:spLocks noChangeArrowheads="1"/>
        </cdr:cNvSpPr>
      </cdr:nvSpPr>
      <cdr:spPr>
        <a:xfrm>
          <a:off x="3352800" y="82867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1900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0.494</cdr:x>
      <cdr:y>0.24625</cdr:y>
    </cdr:from>
    <cdr:to>
      <cdr:x>0.58675</cdr:x>
      <cdr:y>0.29375</cdr:y>
    </cdr:to>
    <cdr:sp>
      <cdr:nvSpPr>
        <cdr:cNvPr id="9" name="Text Box 21"/>
        <cdr:cNvSpPr txBox="1">
          <a:spLocks noChangeArrowheads="1"/>
        </cdr:cNvSpPr>
      </cdr:nvSpPr>
      <cdr:spPr>
        <a:xfrm>
          <a:off x="3152775" y="14573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1800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0.45825</cdr:x>
      <cdr:y>0.32925</cdr:y>
    </cdr:from>
    <cdr:to>
      <cdr:x>0.551</cdr:x>
      <cdr:y>0.37675</cdr:y>
    </cdr:to>
    <cdr:sp>
      <cdr:nvSpPr>
        <cdr:cNvPr id="10" name="Text Box 22"/>
        <cdr:cNvSpPr txBox="1">
          <a:spLocks noChangeArrowheads="1"/>
        </cdr:cNvSpPr>
      </cdr:nvSpPr>
      <cdr:spPr>
        <a:xfrm>
          <a:off x="2924175" y="19526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1700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0.39875</cdr:x>
      <cdr:y>0.418</cdr:y>
    </cdr:from>
    <cdr:to>
      <cdr:x>0.4915</cdr:x>
      <cdr:y>0.4655</cdr:y>
    </cdr:to>
    <cdr:sp>
      <cdr:nvSpPr>
        <cdr:cNvPr id="11" name="Text Box 23"/>
        <cdr:cNvSpPr txBox="1">
          <a:spLocks noChangeArrowheads="1"/>
        </cdr:cNvSpPr>
      </cdr:nvSpPr>
      <cdr:spPr>
        <a:xfrm>
          <a:off x="2543175" y="2476500"/>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1600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0.3655</cdr:x>
      <cdr:y>0.49625</cdr:y>
    </cdr:from>
    <cdr:to>
      <cdr:x>0.45825</cdr:x>
      <cdr:y>0.54375</cdr:y>
    </cdr:to>
    <cdr:sp>
      <cdr:nvSpPr>
        <cdr:cNvPr id="12" name="Text Box 24"/>
        <cdr:cNvSpPr txBox="1">
          <a:spLocks noChangeArrowheads="1"/>
        </cdr:cNvSpPr>
      </cdr:nvSpPr>
      <cdr:spPr>
        <a:xfrm>
          <a:off x="2333625" y="29432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1500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0.30425</cdr:x>
      <cdr:y>0.56</cdr:y>
    </cdr:from>
    <cdr:to>
      <cdr:x>0.397</cdr:x>
      <cdr:y>0.6075</cdr:y>
    </cdr:to>
    <cdr:sp>
      <cdr:nvSpPr>
        <cdr:cNvPr id="13" name="Text Box 25"/>
        <cdr:cNvSpPr txBox="1">
          <a:spLocks noChangeArrowheads="1"/>
        </cdr:cNvSpPr>
      </cdr:nvSpPr>
      <cdr:spPr>
        <a:xfrm>
          <a:off x="1943100" y="3314700"/>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1400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0.25125</cdr:x>
      <cdr:y>0.6185</cdr:y>
    </cdr:from>
    <cdr:to>
      <cdr:x>0.344</cdr:x>
      <cdr:y>0.666</cdr:y>
    </cdr:to>
    <cdr:sp>
      <cdr:nvSpPr>
        <cdr:cNvPr id="14" name="Text Box 26"/>
        <cdr:cNvSpPr txBox="1">
          <a:spLocks noChangeArrowheads="1"/>
        </cdr:cNvSpPr>
      </cdr:nvSpPr>
      <cdr:spPr>
        <a:xfrm>
          <a:off x="1600200" y="36671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1300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2" sqref="A12"/>
    </sheetView>
  </sheetViews>
  <sheetFormatPr defaultColWidth="11.19921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ES25"/>
  <sheetViews>
    <sheetView workbookViewId="0" topLeftCell="E5">
      <selection activeCell="J15" sqref="J15"/>
    </sheetView>
  </sheetViews>
  <sheetFormatPr defaultColWidth="11.19921875" defaultRowHeight="15"/>
  <cols>
    <col min="1" max="1" width="18" style="19" customWidth="1"/>
    <col min="2" max="2" width="18.8984375" style="19" customWidth="1"/>
    <col min="3" max="3" width="15.19921875" style="20" customWidth="1"/>
    <col min="4" max="4" width="10.69921875" style="20" customWidth="1"/>
    <col min="5" max="5" width="5.5" style="20" customWidth="1"/>
    <col min="6" max="6" width="10.69921875" style="21" customWidth="1"/>
    <col min="7" max="12" width="10.59765625" style="19" customWidth="1"/>
    <col min="13" max="13" width="13.8984375" style="19" customWidth="1"/>
    <col min="14" max="20" width="10.59765625" style="19" customWidth="1"/>
    <col min="21" max="24" width="15.09765625" style="20" customWidth="1"/>
    <col min="25" max="26" width="13.8984375" style="20" customWidth="1"/>
    <col min="27" max="40" width="10.59765625" style="19" customWidth="1"/>
    <col min="41" max="42" width="8.59765625" style="20" customWidth="1"/>
    <col min="43" max="43" width="6.09765625" style="20" customWidth="1"/>
    <col min="44" max="44" width="10" style="20" customWidth="1"/>
    <col min="45" max="45" width="4.3984375" style="20" customWidth="1"/>
    <col min="46" max="46" width="8.3984375" style="20" customWidth="1"/>
    <col min="47" max="47" width="13.5" style="20" customWidth="1"/>
    <col min="48" max="48" width="12.5" style="20" customWidth="1"/>
    <col min="49" max="49" width="13.5" style="20" customWidth="1"/>
    <col min="50" max="50" width="18.3984375" style="20" customWidth="1"/>
    <col min="51" max="51" width="18.8984375" style="20" customWidth="1"/>
    <col min="52" max="52" width="18.19921875" style="20" customWidth="1"/>
    <col min="53" max="98" width="10.59765625" style="19" customWidth="1"/>
    <col min="99" max="100" width="10.59765625" style="22" customWidth="1"/>
    <col min="101" max="103" width="10.59765625" style="19" customWidth="1"/>
    <col min="104" max="104" width="10.59765625" style="22" customWidth="1"/>
    <col min="105" max="107" width="10.59765625" style="19" customWidth="1"/>
    <col min="108" max="108" width="10.59765625" style="22" customWidth="1"/>
    <col min="109" max="118" width="10.59765625" style="19" customWidth="1"/>
    <col min="119" max="119" width="14.69921875" style="19" customWidth="1"/>
    <col min="120" max="124" width="10.59765625" style="19" customWidth="1"/>
    <col min="125" max="125" width="10.59765625" style="22" customWidth="1"/>
    <col min="126" max="126" width="10.19921875" style="19" customWidth="1"/>
    <col min="127" max="127" width="24.8984375" style="19" customWidth="1"/>
    <col min="128" max="16384" width="10.59765625" style="19" customWidth="1"/>
  </cols>
  <sheetData>
    <row r="1" ht="22.5">
      <c r="A1" s="18" t="s">
        <v>2</v>
      </c>
    </row>
    <row r="2" ht="12.75">
      <c r="A2" s="22"/>
    </row>
    <row r="3" ht="22.5">
      <c r="A3" s="23" t="s">
        <v>3</v>
      </c>
    </row>
    <row r="4" spans="1:110" ht="22.5">
      <c r="A4" s="23" t="s">
        <v>4</v>
      </c>
      <c r="DF4" s="22"/>
    </row>
    <row r="5" spans="1:110" ht="12.75">
      <c r="A5" s="22"/>
      <c r="DF5" s="22"/>
    </row>
    <row r="6" spans="1:110" ht="18">
      <c r="A6" s="24" t="s">
        <v>181</v>
      </c>
      <c r="AO6" s="19"/>
      <c r="DA6" s="25"/>
      <c r="DF6" s="22"/>
    </row>
    <row r="7" spans="1:110" ht="18">
      <c r="A7" s="24" t="s">
        <v>60</v>
      </c>
      <c r="AO7" s="21"/>
      <c r="DA7" s="25"/>
      <c r="DF7" s="22"/>
    </row>
    <row r="8" spans="1:110" ht="18">
      <c r="A8" s="24" t="s">
        <v>59</v>
      </c>
      <c r="AO8" s="21"/>
      <c r="DA8" s="25"/>
      <c r="DF8" s="22"/>
    </row>
    <row r="9" spans="1:110" ht="18">
      <c r="A9" s="24" t="s">
        <v>118</v>
      </c>
      <c r="AO9" s="21"/>
      <c r="DA9" s="25"/>
      <c r="DF9" s="22"/>
    </row>
    <row r="10" spans="1:110" ht="18.75" thickBot="1">
      <c r="A10" s="24"/>
      <c r="N10" s="168" t="s">
        <v>206</v>
      </c>
      <c r="AO10" s="21"/>
      <c r="DA10" s="25"/>
      <c r="DF10" s="22"/>
    </row>
    <row r="11" spans="1:110" ht="18.75" thickBot="1">
      <c r="A11" s="24"/>
      <c r="C11" s="131" t="s">
        <v>33</v>
      </c>
      <c r="D11" s="49"/>
      <c r="G11" s="162" t="s">
        <v>35</v>
      </c>
      <c r="H11" s="163"/>
      <c r="I11" s="164"/>
      <c r="K11" s="130" t="s">
        <v>203</v>
      </c>
      <c r="L11" s="52"/>
      <c r="M11" s="52"/>
      <c r="N11" s="160">
        <v>1</v>
      </c>
      <c r="AB11" s="130" t="s">
        <v>36</v>
      </c>
      <c r="AC11" s="52"/>
      <c r="AD11" s="53"/>
      <c r="DA11" s="25"/>
      <c r="DF11" s="22"/>
    </row>
    <row r="12" spans="1:105" ht="18.75" thickBot="1">
      <c r="A12" s="24"/>
      <c r="C12" s="132" t="s">
        <v>34</v>
      </c>
      <c r="D12" s="50"/>
      <c r="G12" s="165" t="s">
        <v>205</v>
      </c>
      <c r="H12" s="166"/>
      <c r="I12" s="167"/>
      <c r="K12" s="161" t="s">
        <v>204</v>
      </c>
      <c r="U12" s="28"/>
      <c r="V12" s="28"/>
      <c r="W12" s="28"/>
      <c r="X12" s="28"/>
      <c r="Y12" s="30" t="s">
        <v>115</v>
      </c>
      <c r="Z12" s="30" t="s">
        <v>115</v>
      </c>
      <c r="AO12" s="119" t="s">
        <v>0</v>
      </c>
      <c r="AU12" s="26"/>
      <c r="AW12" s="26"/>
      <c r="CY12" s="19">
        <f>(13603+4.943*10^-7*(C16*10^9-10^-5))/(6.26+2*LN(AU16)+2*LN(1.5*DI16)+2*LN(3*DJ16)-DH16)-273.15</f>
        <v>1300.2567327698002</v>
      </c>
      <c r="DA12" s="25"/>
    </row>
    <row r="13" spans="1:105" s="27" customFormat="1" ht="15.75">
      <c r="A13" s="22" t="s">
        <v>37</v>
      </c>
      <c r="C13" s="133" t="s">
        <v>166</v>
      </c>
      <c r="D13" s="51" t="s">
        <v>32</v>
      </c>
      <c r="E13" s="28"/>
      <c r="F13" s="29"/>
      <c r="U13" s="38" t="s">
        <v>162</v>
      </c>
      <c r="V13" s="38" t="s">
        <v>163</v>
      </c>
      <c r="W13" s="38" t="s">
        <v>164</v>
      </c>
      <c r="X13" s="38" t="s">
        <v>165</v>
      </c>
      <c r="Y13" s="30" t="s">
        <v>119</v>
      </c>
      <c r="Z13" s="30" t="s">
        <v>119</v>
      </c>
      <c r="AO13" s="119" t="s">
        <v>1</v>
      </c>
      <c r="AP13"/>
      <c r="AQ13"/>
      <c r="AR13"/>
      <c r="AS13"/>
      <c r="AT13" s="30"/>
      <c r="AU13" s="31" t="s">
        <v>116</v>
      </c>
      <c r="AV13" s="121"/>
      <c r="AW13" s="122" t="s">
        <v>116</v>
      </c>
      <c r="AX13" s="123" t="s">
        <v>117</v>
      </c>
      <c r="AY13" s="123" t="s">
        <v>13</v>
      </c>
      <c r="AZ13" s="124"/>
      <c r="CR13" s="27" t="s">
        <v>15</v>
      </c>
      <c r="DA13" s="32"/>
    </row>
    <row r="14" spans="1:140" s="27" customFormat="1" ht="15.75">
      <c r="A14" s="33"/>
      <c r="B14" s="34"/>
      <c r="C14" s="35"/>
      <c r="D14" s="35"/>
      <c r="E14" s="35"/>
      <c r="F14" s="34" t="s">
        <v>160</v>
      </c>
      <c r="G14" s="36" t="s">
        <v>161</v>
      </c>
      <c r="H14" s="37"/>
      <c r="I14" s="37"/>
      <c r="J14" s="37"/>
      <c r="K14" s="37"/>
      <c r="L14" s="37"/>
      <c r="M14" s="37"/>
      <c r="N14" s="37"/>
      <c r="O14" s="37"/>
      <c r="P14" s="37"/>
      <c r="Q14" s="37"/>
      <c r="R14" s="37"/>
      <c r="S14" s="32" t="s">
        <v>57</v>
      </c>
      <c r="U14" s="38" t="s">
        <v>80</v>
      </c>
      <c r="V14" s="38" t="s">
        <v>80</v>
      </c>
      <c r="W14" s="38" t="s">
        <v>80</v>
      </c>
      <c r="X14" s="38" t="s">
        <v>80</v>
      </c>
      <c r="Y14" s="30" t="s">
        <v>81</v>
      </c>
      <c r="Z14" s="30" t="s">
        <v>82</v>
      </c>
      <c r="AB14" s="36" t="s">
        <v>120</v>
      </c>
      <c r="AC14" s="37"/>
      <c r="AD14" s="37"/>
      <c r="AE14" s="37"/>
      <c r="AF14" s="37"/>
      <c r="AG14" s="37"/>
      <c r="AH14" s="37"/>
      <c r="AI14" s="37"/>
      <c r="AJ14" s="37"/>
      <c r="AK14" s="37"/>
      <c r="AL14" s="37"/>
      <c r="AM14" s="37"/>
      <c r="AO14" s="30" t="s">
        <v>121</v>
      </c>
      <c r="AP14" s="30" t="s">
        <v>122</v>
      </c>
      <c r="AQ14" s="46"/>
      <c r="AR14" s="30" t="s">
        <v>123</v>
      </c>
      <c r="AS14"/>
      <c r="AT14" s="30" t="s">
        <v>123</v>
      </c>
      <c r="AU14" s="30" t="s">
        <v>124</v>
      </c>
      <c r="AV14" s="125" t="s">
        <v>116</v>
      </c>
      <c r="AW14" s="120" t="s">
        <v>125</v>
      </c>
      <c r="AX14" s="120" t="s">
        <v>126</v>
      </c>
      <c r="AY14" s="120" t="s">
        <v>14</v>
      </c>
      <c r="AZ14" s="126" t="s">
        <v>127</v>
      </c>
      <c r="BE14" s="27" t="s">
        <v>128</v>
      </c>
      <c r="BO14" s="57" t="s">
        <v>129</v>
      </c>
      <c r="BP14" s="58"/>
      <c r="BQ14" s="58"/>
      <c r="BR14" s="58"/>
      <c r="BS14" s="58"/>
      <c r="BT14" s="58"/>
      <c r="BU14" s="58"/>
      <c r="BV14" s="58"/>
      <c r="BW14" s="59"/>
      <c r="BY14" s="27" t="s">
        <v>130</v>
      </c>
      <c r="CI14" s="57" t="s">
        <v>131</v>
      </c>
      <c r="CJ14" s="58"/>
      <c r="CK14" s="58"/>
      <c r="CL14" s="58"/>
      <c r="CM14" s="58"/>
      <c r="CN14" s="58"/>
      <c r="CO14" s="58"/>
      <c r="CP14" s="58"/>
      <c r="CQ14" s="59"/>
      <c r="CR14" s="57"/>
      <c r="CS14" s="58"/>
      <c r="CT14" s="59"/>
      <c r="CW14" s="32" t="s">
        <v>116</v>
      </c>
      <c r="CY14" s="27">
        <f>CW16/CX16-273.15</f>
        <v>1300.205394751587</v>
      </c>
      <c r="DA14" s="32" t="s">
        <v>125</v>
      </c>
      <c r="DB14" s="32"/>
      <c r="DC14" s="32"/>
      <c r="DK14" s="27" t="s">
        <v>132</v>
      </c>
      <c r="DQ14" s="27" t="s">
        <v>133</v>
      </c>
      <c r="DZ14" s="27" t="s">
        <v>61</v>
      </c>
      <c r="EJ14" s="27" t="s">
        <v>62</v>
      </c>
    </row>
    <row r="15" spans="1:149" s="27" customFormat="1" ht="16.5" thickBot="1">
      <c r="A15" s="33" t="s">
        <v>63</v>
      </c>
      <c r="B15" s="34" t="s">
        <v>64</v>
      </c>
      <c r="C15" s="39" t="s">
        <v>65</v>
      </c>
      <c r="D15" s="35" t="s">
        <v>66</v>
      </c>
      <c r="E15" s="35"/>
      <c r="F15" s="34" t="s">
        <v>67</v>
      </c>
      <c r="G15" s="39" t="s">
        <v>68</v>
      </c>
      <c r="H15" s="39" t="s">
        <v>69</v>
      </c>
      <c r="I15" s="39" t="s">
        <v>70</v>
      </c>
      <c r="J15" s="39" t="s">
        <v>71</v>
      </c>
      <c r="K15" s="39" t="s">
        <v>72</v>
      </c>
      <c r="L15" s="39" t="s">
        <v>44</v>
      </c>
      <c r="M15" s="39" t="s">
        <v>73</v>
      </c>
      <c r="N15" s="39" t="s">
        <v>74</v>
      </c>
      <c r="O15" s="39" t="s">
        <v>75</v>
      </c>
      <c r="P15" s="39" t="s">
        <v>76</v>
      </c>
      <c r="Q15" s="39" t="s">
        <v>77</v>
      </c>
      <c r="R15" s="39" t="s">
        <v>78</v>
      </c>
      <c r="S15" s="32" t="s">
        <v>79</v>
      </c>
      <c r="T15" s="32"/>
      <c r="U15" s="56" t="s">
        <v>86</v>
      </c>
      <c r="V15" s="56" t="s">
        <v>86</v>
      </c>
      <c r="W15" s="56" t="s">
        <v>86</v>
      </c>
      <c r="X15" s="56" t="s">
        <v>86</v>
      </c>
      <c r="Y15" s="56" t="s">
        <v>86</v>
      </c>
      <c r="Z15" s="56" t="s">
        <v>86</v>
      </c>
      <c r="AA15" s="32"/>
      <c r="AB15" s="39" t="s">
        <v>68</v>
      </c>
      <c r="AC15" s="39" t="s">
        <v>69</v>
      </c>
      <c r="AD15" s="39" t="s">
        <v>70</v>
      </c>
      <c r="AE15" s="39" t="s">
        <v>71</v>
      </c>
      <c r="AF15" s="39" t="s">
        <v>72</v>
      </c>
      <c r="AG15" s="39" t="s">
        <v>44</v>
      </c>
      <c r="AH15" s="39" t="s">
        <v>73</v>
      </c>
      <c r="AI15" s="39" t="s">
        <v>74</v>
      </c>
      <c r="AJ15" s="39" t="s">
        <v>75</v>
      </c>
      <c r="AK15" s="39" t="s">
        <v>76</v>
      </c>
      <c r="AL15" s="39" t="s">
        <v>77</v>
      </c>
      <c r="AM15" s="39" t="s">
        <v>78</v>
      </c>
      <c r="AN15" s="32"/>
      <c r="AO15" s="56" t="s">
        <v>159</v>
      </c>
      <c r="AP15" s="56" t="s">
        <v>83</v>
      </c>
      <c r="AQ15" s="46"/>
      <c r="AR15" s="56" t="s">
        <v>17</v>
      </c>
      <c r="AS15"/>
      <c r="AT15" s="56" t="s">
        <v>84</v>
      </c>
      <c r="AU15" s="56" t="s">
        <v>85</v>
      </c>
      <c r="AV15" s="127" t="s">
        <v>86</v>
      </c>
      <c r="AW15" s="128" t="s">
        <v>86</v>
      </c>
      <c r="AX15" s="128" t="s">
        <v>16</v>
      </c>
      <c r="AY15" s="128" t="s">
        <v>134</v>
      </c>
      <c r="AZ15" s="129" t="s">
        <v>135</v>
      </c>
      <c r="BA15" s="32"/>
      <c r="BB15" s="32"/>
      <c r="BC15" s="32" t="s">
        <v>87</v>
      </c>
      <c r="BE15" s="32" t="s">
        <v>88</v>
      </c>
      <c r="BF15" s="32" t="s">
        <v>89</v>
      </c>
      <c r="BG15" s="32" t="s">
        <v>90</v>
      </c>
      <c r="BH15" s="32" t="s">
        <v>91</v>
      </c>
      <c r="BI15" s="32" t="s">
        <v>92</v>
      </c>
      <c r="BJ15" s="32" t="s">
        <v>93</v>
      </c>
      <c r="BK15" s="32" t="s">
        <v>94</v>
      </c>
      <c r="BL15" s="32" t="s">
        <v>95</v>
      </c>
      <c r="BM15" s="32" t="s">
        <v>96</v>
      </c>
      <c r="BN15" s="32" t="s">
        <v>97</v>
      </c>
      <c r="BO15" s="60" t="s">
        <v>88</v>
      </c>
      <c r="BP15" s="61" t="s">
        <v>89</v>
      </c>
      <c r="BQ15" s="61" t="s">
        <v>90</v>
      </c>
      <c r="BR15" s="61" t="s">
        <v>91</v>
      </c>
      <c r="BS15" s="61" t="s">
        <v>92</v>
      </c>
      <c r="BT15" s="61" t="s">
        <v>93</v>
      </c>
      <c r="BU15" s="61" t="s">
        <v>94</v>
      </c>
      <c r="BV15" s="61" t="s">
        <v>95</v>
      </c>
      <c r="BW15" s="62" t="s">
        <v>96</v>
      </c>
      <c r="BY15" s="32" t="s">
        <v>88</v>
      </c>
      <c r="BZ15" s="32" t="s">
        <v>89</v>
      </c>
      <c r="CA15" s="32" t="s">
        <v>90</v>
      </c>
      <c r="CB15" s="32" t="s">
        <v>91</v>
      </c>
      <c r="CC15" s="32" t="s">
        <v>92</v>
      </c>
      <c r="CD15" s="32" t="s">
        <v>93</v>
      </c>
      <c r="CE15" s="32" t="s">
        <v>94</v>
      </c>
      <c r="CF15" s="32" t="s">
        <v>95</v>
      </c>
      <c r="CG15" s="32" t="s">
        <v>96</v>
      </c>
      <c r="CH15" s="32" t="s">
        <v>97</v>
      </c>
      <c r="CI15" s="60" t="s">
        <v>88</v>
      </c>
      <c r="CJ15" s="61" t="s">
        <v>89</v>
      </c>
      <c r="CK15" s="61" t="s">
        <v>90</v>
      </c>
      <c r="CL15" s="61" t="s">
        <v>91</v>
      </c>
      <c r="CM15" s="61" t="s">
        <v>92</v>
      </c>
      <c r="CN15" s="61" t="s">
        <v>93</v>
      </c>
      <c r="CO15" s="61" t="s">
        <v>94</v>
      </c>
      <c r="CP15" s="61" t="s">
        <v>95</v>
      </c>
      <c r="CQ15" s="62" t="s">
        <v>96</v>
      </c>
      <c r="CR15" s="60" t="s">
        <v>98</v>
      </c>
      <c r="CS15" s="61" t="s">
        <v>99</v>
      </c>
      <c r="CT15" s="62" t="s">
        <v>100</v>
      </c>
      <c r="CW15" s="32" t="s">
        <v>101</v>
      </c>
      <c r="CX15" s="32" t="s">
        <v>102</v>
      </c>
      <c r="CY15" s="32" t="s">
        <v>103</v>
      </c>
      <c r="DA15" s="32" t="s">
        <v>101</v>
      </c>
      <c r="DB15" s="32" t="s">
        <v>102</v>
      </c>
      <c r="DC15" s="32"/>
      <c r="DE15" s="32" t="s">
        <v>86</v>
      </c>
      <c r="DF15" s="27" t="s">
        <v>104</v>
      </c>
      <c r="DH15" s="32" t="s">
        <v>105</v>
      </c>
      <c r="DI15" s="32" t="s">
        <v>196</v>
      </c>
      <c r="DJ15" s="32" t="s">
        <v>197</v>
      </c>
      <c r="DK15" s="32" t="s">
        <v>177</v>
      </c>
      <c r="DN15" s="32" t="s">
        <v>178</v>
      </c>
      <c r="DO15" s="32" t="s">
        <v>179</v>
      </c>
      <c r="DP15" s="32" t="s">
        <v>12</v>
      </c>
      <c r="DQ15" s="32" t="s">
        <v>177</v>
      </c>
      <c r="DR15" s="32" t="s">
        <v>136</v>
      </c>
      <c r="DT15" s="32" t="s">
        <v>136</v>
      </c>
      <c r="DV15" s="32" t="s">
        <v>137</v>
      </c>
      <c r="DW15" s="32" t="s">
        <v>138</v>
      </c>
      <c r="DX15" s="32" t="s">
        <v>139</v>
      </c>
      <c r="DZ15" s="32" t="s">
        <v>88</v>
      </c>
      <c r="EA15" s="32" t="s">
        <v>89</v>
      </c>
      <c r="EB15" s="32" t="s">
        <v>140</v>
      </c>
      <c r="EC15" s="32" t="s">
        <v>91</v>
      </c>
      <c r="ED15" s="32" t="s">
        <v>92</v>
      </c>
      <c r="EE15" s="32" t="s">
        <v>93</v>
      </c>
      <c r="EF15" s="32" t="s">
        <v>94</v>
      </c>
      <c r="EG15" s="32" t="s">
        <v>141</v>
      </c>
      <c r="EH15" s="32" t="s">
        <v>142</v>
      </c>
      <c r="EI15" s="32" t="s">
        <v>97</v>
      </c>
      <c r="EJ15" s="32" t="s">
        <v>88</v>
      </c>
      <c r="EK15" s="32" t="s">
        <v>89</v>
      </c>
      <c r="EL15" s="32" t="s">
        <v>140</v>
      </c>
      <c r="EM15" s="32" t="s">
        <v>91</v>
      </c>
      <c r="EN15" s="32" t="s">
        <v>92</v>
      </c>
      <c r="EO15" s="32" t="s">
        <v>93</v>
      </c>
      <c r="EP15" s="32" t="s">
        <v>94</v>
      </c>
      <c r="EQ15" s="32" t="s">
        <v>141</v>
      </c>
      <c r="ER15" s="32" t="s">
        <v>142</v>
      </c>
      <c r="ES15" s="32" t="s">
        <v>97</v>
      </c>
    </row>
    <row r="16" spans="1:149" ht="15.75">
      <c r="A16" s="19" t="s">
        <v>143</v>
      </c>
      <c r="B16" s="19" t="s">
        <v>144</v>
      </c>
      <c r="C16" s="48">
        <v>1.3</v>
      </c>
      <c r="D16" s="20">
        <v>1300</v>
      </c>
      <c r="F16" s="40">
        <v>5216</v>
      </c>
      <c r="G16" s="41">
        <v>48</v>
      </c>
      <c r="H16" s="41">
        <v>0.66</v>
      </c>
      <c r="I16" s="41">
        <v>18.9</v>
      </c>
      <c r="J16" s="41">
        <v>8.22</v>
      </c>
      <c r="K16" s="41">
        <v>0.18</v>
      </c>
      <c r="L16" s="41">
        <v>9.36</v>
      </c>
      <c r="M16" s="41">
        <v>10.6</v>
      </c>
      <c r="N16" s="41">
        <v>2.76</v>
      </c>
      <c r="O16" s="41">
        <v>0.11</v>
      </c>
      <c r="P16" s="41">
        <v>0.02</v>
      </c>
      <c r="Q16" s="41">
        <v>0.07</v>
      </c>
      <c r="R16" s="41">
        <v>0</v>
      </c>
      <c r="S16" s="19">
        <f>SUM(G16:Q16)</f>
        <v>98.88</v>
      </c>
      <c r="U16" s="42">
        <f>26.3*L16+994.4</f>
        <v>1240.568</v>
      </c>
      <c r="V16" s="42">
        <f>754+190.6*AO16/100+25.52*L16+9.585*J16+14.87*(N16+O16)-9.176*R16</f>
        <v>1242.0313935193099</v>
      </c>
      <c r="W16" s="42">
        <f>815.3+265.5*AO16/100+15.37*L16+8.61*J16+6.646*(N16+O16)+39.16*C16-12.83*R16</f>
        <v>1277.7996748760586</v>
      </c>
      <c r="X16" s="42">
        <f aca="true" t="shared" si="0" ref="X16:X25">-583+3141*EJ16+15779*EL16+1338.6*EO16-31440*(EJ16*EL16)+77.67*C16</f>
        <v>1288.8495318767245</v>
      </c>
      <c r="Y16" s="42">
        <f>20.1*L16+1014</f>
        <v>1202.136</v>
      </c>
      <c r="Z16" s="42">
        <f>16.6*M16+968</f>
        <v>1143.96</v>
      </c>
      <c r="AB16" s="41">
        <v>40.5</v>
      </c>
      <c r="AC16" s="41">
        <v>0.02</v>
      </c>
      <c r="AD16" s="41">
        <v>0.08</v>
      </c>
      <c r="AE16" s="41">
        <v>12.4</v>
      </c>
      <c r="AF16" s="41">
        <v>0.17</v>
      </c>
      <c r="AG16" s="41">
        <v>47.4</v>
      </c>
      <c r="AH16" s="41">
        <v>0.3</v>
      </c>
      <c r="AI16" s="41">
        <v>0</v>
      </c>
      <c r="AJ16" s="41">
        <v>0</v>
      </c>
      <c r="AK16" s="41">
        <v>0.03</v>
      </c>
      <c r="AL16" s="41">
        <v>0</v>
      </c>
      <c r="AM16" s="41">
        <v>0</v>
      </c>
      <c r="AO16" s="43">
        <f>100*(L16/40.3)/(L16/40.3+J16/71.85)</f>
        <v>66.99821275934416</v>
      </c>
      <c r="AP16" s="43">
        <f>100*CD16/(CD16+CB16)</f>
        <v>87.20441643771076</v>
      </c>
      <c r="AQ16" s="47"/>
      <c r="AR16" s="44">
        <f aca="true" t="shared" si="1" ref="AR16:AR25">(CL16/CN16)/(BR16/BT16)</f>
        <v>0.2978841356370692</v>
      </c>
      <c r="AS16"/>
      <c r="AT16" s="43">
        <f aca="true" t="shared" si="2" ref="AT16:AT25">CN16/BT16</f>
        <v>4.503765217248252</v>
      </c>
      <c r="AU16" s="43">
        <f aca="true" t="shared" si="3" ref="AU16:AU25">(0.666-(-0.049*BS16+0.027*BR16))/(1*BT16+0.259*BS16+0.299*BR16)</f>
        <v>4.4955352247300535</v>
      </c>
      <c r="AV16" s="45">
        <f>CW16/CX16-273.15</f>
        <v>1300.205394751587</v>
      </c>
      <c r="AW16" s="45">
        <f>(DC16-273.15)+54*DF16+2*DF16^2</f>
        <v>1302.8160644113793</v>
      </c>
      <c r="AX16" s="45">
        <f>(15294.6+1318.8*DF16+2.4834*DF16^2)/(8.048+2.8352*LN(DQ16)+2.097*LN(1.5*DI16)+2.575*LN(3*DJ16)-1.41*DH16+0.222*R16+0.5*DF16)</f>
        <v>1290.9210062071527</v>
      </c>
      <c r="AY16" s="42">
        <f>1/((LN(AT16)+2.158-5.115*10^-2*(N16+O16)+6.213*10^-2*R16)/(55.09*C16+4430))</f>
        <v>1280.282136761001</v>
      </c>
      <c r="AZ16" s="45">
        <f>DW16</f>
        <v>1209.5093719666575</v>
      </c>
      <c r="BC16" s="19" t="s">
        <v>145</v>
      </c>
      <c r="BE16" s="19">
        <f>G16/60.08</f>
        <v>0.7989347536617843</v>
      </c>
      <c r="BF16" s="19">
        <f>H16/79.9</f>
        <v>0.008260325406758447</v>
      </c>
      <c r="BG16" s="19">
        <f>I16*2/101.96</f>
        <v>0.37073362102785407</v>
      </c>
      <c r="BH16" s="19">
        <f>J16*$N$11/71.85</f>
        <v>0.11440501043841338</v>
      </c>
      <c r="BI16" s="19">
        <f>K16/70.94</f>
        <v>0.002537355511700028</v>
      </c>
      <c r="BJ16" s="19">
        <f>L16/40.3</f>
        <v>0.23225806451612904</v>
      </c>
      <c r="BK16" s="19">
        <f>M16/56.08</f>
        <v>0.1890156918687589</v>
      </c>
      <c r="BL16" s="19">
        <f>N16*2/61.98</f>
        <v>0.08906098741529525</v>
      </c>
      <c r="BM16" s="19">
        <f>O16*2/94.2</f>
        <v>0.002335456475583864</v>
      </c>
      <c r="BN16" s="19">
        <f>SUM(BE16:BM16)</f>
        <v>1.8075412663222774</v>
      </c>
      <c r="BO16" s="19">
        <f aca="true" t="shared" si="4" ref="BO16:BO25">BE16/$BN16</f>
        <v>0.4420008375727658</v>
      </c>
      <c r="BP16" s="19">
        <f aca="true" t="shared" si="5" ref="BP16:BP25">BF16/$BN16</f>
        <v>0.004569923553427556</v>
      </c>
      <c r="BQ16" s="19">
        <f aca="true" t="shared" si="6" ref="BQ16:BQ25">BG16/$BN16</f>
        <v>0.20510382138172095</v>
      </c>
      <c r="BR16" s="19">
        <f aca="true" t="shared" si="7" ref="BR16:BR25">BH16/$BN16</f>
        <v>0.06329316656276848</v>
      </c>
      <c r="BS16" s="19">
        <f aca="true" t="shared" si="8" ref="BS16:BS25">BI16/$BN16</f>
        <v>0.001403760765508093</v>
      </c>
      <c r="BT16" s="19">
        <f aca="true" t="shared" si="9" ref="BT16:BT25">BJ16/$BN16</f>
        <v>0.1284939209098634</v>
      </c>
      <c r="BU16" s="19">
        <f aca="true" t="shared" si="10" ref="BU16:BU25">BK16/$BN16</f>
        <v>0.10457060947401804</v>
      </c>
      <c r="BV16" s="19">
        <f aca="true" t="shared" si="11" ref="BV16:BV25">BL16/$BN16</f>
        <v>0.04927189717582693</v>
      </c>
      <c r="BW16" s="19">
        <f aca="true" t="shared" si="12" ref="BW16:BW25">BM16/$BN16</f>
        <v>0.001292062604100714</v>
      </c>
      <c r="BX16" s="19">
        <f>SUM(BO16:BW16)</f>
        <v>1</v>
      </c>
      <c r="BY16" s="19">
        <f>AB16/60.08</f>
        <v>0.6741011984021306</v>
      </c>
      <c r="BZ16" s="19">
        <f>AC16/79.9</f>
        <v>0.00025031289111389235</v>
      </c>
      <c r="CA16" s="19">
        <f>AD16*2/101.96</f>
        <v>0.0015692428403295412</v>
      </c>
      <c r="CB16" s="19">
        <f>AE16/71.85</f>
        <v>0.17258176757132918</v>
      </c>
      <c r="CC16" s="19">
        <f>AF16/70.94</f>
        <v>0.0023963913166055823</v>
      </c>
      <c r="CD16" s="19">
        <f>AG16/40.3</f>
        <v>1.1761786600496278</v>
      </c>
      <c r="CE16" s="19">
        <f>AH16/56.08</f>
        <v>0.005349500713266762</v>
      </c>
      <c r="CF16" s="19">
        <f>2*AI16/61.98</f>
        <v>0</v>
      </c>
      <c r="CG16" s="19">
        <f>2*AJ16/94.2</f>
        <v>0</v>
      </c>
      <c r="CH16" s="19">
        <f>SUM(BY16:CG16)</f>
        <v>2.0324270737844032</v>
      </c>
      <c r="CI16" s="19">
        <f aca="true" t="shared" si="13" ref="CI16:CI25">BY16/$CH16</f>
        <v>0.3316730066712535</v>
      </c>
      <c r="CJ16" s="19">
        <f aca="true" t="shared" si="14" ref="CJ16:CJ25">BZ16/$CH16</f>
        <v>0.00012315959295297458</v>
      </c>
      <c r="CK16" s="19">
        <f aca="true" t="shared" si="15" ref="CK16:CK25">CA16/$CH16</f>
        <v>0.0007721029012901273</v>
      </c>
      <c r="CL16" s="19">
        <f aca="true" t="shared" si="16" ref="CL16:CL25">CB16/$CH16</f>
        <v>0.08491412547953314</v>
      </c>
      <c r="CM16" s="19">
        <f aca="true" t="shared" si="17" ref="CM16:CM25">CC16/$CH16</f>
        <v>0.0011790786235411996</v>
      </c>
      <c r="CN16" s="19">
        <f aca="true" t="shared" si="18" ref="CN16:CN25">CD16/$CH16</f>
        <v>0.5787064516216905</v>
      </c>
      <c r="CO16" s="19">
        <f aca="true" t="shared" si="19" ref="CO16:CO25">CE16/$CH16</f>
        <v>0.0026320751097385887</v>
      </c>
      <c r="CP16" s="19">
        <f aca="true" t="shared" si="20" ref="CP16:CP25">CF16/$CH16</f>
        <v>0</v>
      </c>
      <c r="CQ16" s="19">
        <f aca="true" t="shared" si="21" ref="CQ16:CQ25">CG16/$CH16</f>
        <v>0</v>
      </c>
      <c r="CR16" s="19">
        <f>BT16+BR16+BU16+BS16</f>
        <v>0.297761457712158</v>
      </c>
      <c r="CS16" s="19">
        <f>BO16</f>
        <v>0.4420008375727658</v>
      </c>
      <c r="CT16" s="19">
        <f>(7/2)*LN(1-BQ16)+7*LN(1-BP16)</f>
        <v>-0.8354659632967798</v>
      </c>
      <c r="CW16" s="19">
        <f>113.1*1000/8.3144+(DF16*10^9-10^5)*4.11*(10^-6)/8.3144</f>
        <v>14245.476402386223</v>
      </c>
      <c r="CX16" s="19">
        <f aca="true" t="shared" si="22" ref="CX16:CX25">52.05/8.3144+2*LN(AU16)+2*LN(1.5*CR16)+2*LN(3*CS16)-CT16</f>
        <v>9.054201263049919</v>
      </c>
      <c r="CY16" s="19">
        <f>DA16/DB16</f>
        <v>1502.386064411379</v>
      </c>
      <c r="CZ16" s="22">
        <f>CY16-273.15</f>
        <v>1229.2360644113792</v>
      </c>
      <c r="DA16" s="19">
        <f>113.1*1000/8.3144+(0.0001*10^9-10^5)*4.11*(10^-6)/8.3144</f>
        <v>13602.905801982104</v>
      </c>
      <c r="DB16" s="19">
        <f aca="true" t="shared" si="23" ref="DB16:DB25">52.05/8.3144+2*LN(AU16)+2*LN(1.5*CR16)+2*LN(3*CS16)-CT16</f>
        <v>9.054201263049919</v>
      </c>
      <c r="DC16" s="19">
        <f>DA16/DB16</f>
        <v>1502.386064411379</v>
      </c>
      <c r="DE16" s="19">
        <v>1300</v>
      </c>
      <c r="DF16" s="19">
        <f>C16</f>
        <v>1.3</v>
      </c>
      <c r="DG16" s="19">
        <f>IF(AR16&gt;0,1,0)</f>
        <v>1</v>
      </c>
      <c r="DH16" s="19">
        <f>(7/2)*LN(1-BQ16)+7*LN(1-BP16)</f>
        <v>-0.8354659632967798</v>
      </c>
      <c r="DI16" s="19">
        <f>BT16+BR16+BS16+BU16</f>
        <v>0.297761457712158</v>
      </c>
      <c r="DJ16" s="19">
        <f>BO16</f>
        <v>0.4420008375727658</v>
      </c>
      <c r="DK16" s="19">
        <f>(0.666-(-0.049*BS16+0.027*BR16))/(BT16+0.259*BS16+0.299*BR16)</f>
        <v>4.4955352247300535</v>
      </c>
      <c r="DL16" s="19">
        <f>13603+4.943*10^-7*(C16*10^9-10^-5)</f>
        <v>14245.589999999995</v>
      </c>
      <c r="DM16" s="19">
        <f>6.26+2*LN(DK16)+2*LN(1.5*DI16)+2*LN(3*DJ16)-DH16</f>
        <v>9.053978035877783</v>
      </c>
      <c r="DN16" s="19">
        <f>(DL16/DM16)-273.15</f>
        <v>1300.2567327698002</v>
      </c>
      <c r="DO16" s="19">
        <f>(13603+4.943*10^-7*(0.0001*10^9-10^-5))/(6.26+2*LN(DK16)+2*LN(1.5*DI16)+2*LN(3*DJ16)-DH16)-273.15</f>
        <v>1229.2889694889714</v>
      </c>
      <c r="DP16" s="19">
        <f aca="true" t="shared" si="24" ref="DP16:DP25">DO16+54*DF16-2*DF16^2</f>
        <v>1296.1089694889713</v>
      </c>
      <c r="DQ16" s="25">
        <f>CN16/BT16</f>
        <v>4.503765217248252</v>
      </c>
      <c r="DR16" s="19">
        <f aca="true" t="shared" si="25" ref="DR16:DR25">LN(DQ16)+2.158+6.213*10^-2*R16-5.115*10^-2*(N16+O16)</f>
        <v>3.516113261869518</v>
      </c>
      <c r="DS16" s="19">
        <f>55.09*DF16+4430</f>
        <v>4501.617</v>
      </c>
      <c r="DT16" s="19">
        <f>DS16/DR16</f>
        <v>1280.2821367610013</v>
      </c>
      <c r="DV16" s="19">
        <f>CN16/(BT16*BO16^0.5)</f>
        <v>6.774296426202462</v>
      </c>
      <c r="DW16" s="19">
        <f>(4129+0.0146*(DF16*10*1000-1))/(LOG(DV16)+2.082)-273.15</f>
        <v>1209.5093719666575</v>
      </c>
      <c r="DX16" s="19">
        <f>DE16</f>
        <v>1300</v>
      </c>
      <c r="DZ16" s="19">
        <f>G16/60.08</f>
        <v>0.7989347536617843</v>
      </c>
      <c r="EA16" s="19">
        <f>H16/79.9</f>
        <v>0.008260325406758447</v>
      </c>
      <c r="EB16" s="19">
        <f>I16/101.96</f>
        <v>0.18536681051392703</v>
      </c>
      <c r="EC16" s="19">
        <f>J16/71.85</f>
        <v>0.11440501043841338</v>
      </c>
      <c r="ED16" s="19">
        <f>K16/70.94</f>
        <v>0.002537355511700028</v>
      </c>
      <c r="EE16" s="19">
        <f>L16/40.3</f>
        <v>0.23225806451612904</v>
      </c>
      <c r="EF16" s="19">
        <f>M16/56.08</f>
        <v>0.1890156918687589</v>
      </c>
      <c r="EG16" s="19">
        <f>N16/61.98</f>
        <v>0.044530493707647625</v>
      </c>
      <c r="EH16" s="19">
        <f>O16/94.2</f>
        <v>0.001167728237791932</v>
      </c>
      <c r="EI16" s="19">
        <f aca="true" t="shared" si="26" ref="EI16:EI25">SUM(DZ16:EH16)</f>
        <v>1.5764762338629108</v>
      </c>
      <c r="EJ16" s="19">
        <f>DZ16/$EI16</f>
        <v>0.5067851557166317</v>
      </c>
      <c r="EK16" s="19">
        <f aca="true" t="shared" si="27" ref="EK16:ER25">EA16/$EI16</f>
        <v>0.005239739889080218</v>
      </c>
      <c r="EL16" s="19">
        <f t="shared" si="27"/>
        <v>0.11758300349362982</v>
      </c>
      <c r="EM16" s="19">
        <f t="shared" si="27"/>
        <v>0.07257008255562573</v>
      </c>
      <c r="EN16" s="19">
        <f t="shared" si="27"/>
        <v>0.0016095107919785326</v>
      </c>
      <c r="EO16" s="19">
        <f t="shared" si="27"/>
        <v>0.1473273491392995</v>
      </c>
      <c r="EP16" s="19">
        <f t="shared" si="27"/>
        <v>0.11989758412380581</v>
      </c>
      <c r="EQ16" s="19">
        <f t="shared" si="27"/>
        <v>0.028246853806690474</v>
      </c>
      <c r="ER16" s="19">
        <f t="shared" si="27"/>
        <v>0.0007407204832581553</v>
      </c>
      <c r="ES16" s="19">
        <f aca="true" t="shared" si="28" ref="ES16:ES25">SUM(EJ16:ER16)</f>
        <v>0.9999999999999999</v>
      </c>
    </row>
    <row r="17" spans="1:149" ht="15.75">
      <c r="A17" s="19" t="s">
        <v>143</v>
      </c>
      <c r="B17" s="19" t="s">
        <v>146</v>
      </c>
      <c r="C17" s="48">
        <v>1.6</v>
      </c>
      <c r="D17" s="20">
        <v>1330</v>
      </c>
      <c r="F17" s="40">
        <v>5215</v>
      </c>
      <c r="G17" s="41">
        <v>47.3</v>
      </c>
      <c r="H17" s="41">
        <v>1.25</v>
      </c>
      <c r="I17" s="41">
        <v>16.5</v>
      </c>
      <c r="J17" s="41">
        <v>7.73</v>
      </c>
      <c r="K17" s="41">
        <v>0.18</v>
      </c>
      <c r="L17" s="41">
        <v>11.8</v>
      </c>
      <c r="M17" s="41">
        <v>10.9</v>
      </c>
      <c r="N17" s="41">
        <v>2.98</v>
      </c>
      <c r="O17" s="41">
        <v>0.13</v>
      </c>
      <c r="P17" s="41">
        <v>0</v>
      </c>
      <c r="Q17" s="41">
        <v>0.15</v>
      </c>
      <c r="R17" s="41">
        <v>0</v>
      </c>
      <c r="S17" s="19">
        <f aca="true" t="shared" si="29" ref="S17:S25">SUM(G17:Q17)</f>
        <v>98.92000000000002</v>
      </c>
      <c r="U17" s="42">
        <f aca="true" t="shared" si="30" ref="U17:U25">26.3*L17+994.4</f>
        <v>1304.74</v>
      </c>
      <c r="V17" s="42">
        <f aca="true" t="shared" si="31" ref="V17:V25">754+190.6*AO17/100+25.52*L17+9.585*J17+14.87*(N17+O17)-9.176*R17</f>
        <v>1314.8592137387016</v>
      </c>
      <c r="W17" s="42">
        <f aca="true" t="shared" si="32" ref="W17:W25">815.3+265.5*AO17/100+15.37*L17+8.61*J17+6.646*(N17+O17)+39.16*C17-12.83*R17</f>
        <v>1340.706069457635</v>
      </c>
      <c r="X17" s="42">
        <f t="shared" si="0"/>
        <v>1361.10039810865</v>
      </c>
      <c r="Y17" s="42">
        <f aca="true" t="shared" si="33" ref="Y17:Y25">20.1*L17+1014</f>
        <v>1251.18</v>
      </c>
      <c r="Z17" s="42">
        <f aca="true" t="shared" si="34" ref="Z17:Z25">16.6*M17+968</f>
        <v>1148.94</v>
      </c>
      <c r="AB17" s="41">
        <v>41.3</v>
      </c>
      <c r="AC17" s="41">
        <v>0.03</v>
      </c>
      <c r="AD17" s="41">
        <v>0.11</v>
      </c>
      <c r="AE17" s="41">
        <v>9.59</v>
      </c>
      <c r="AF17" s="41">
        <v>0.14</v>
      </c>
      <c r="AG17" s="41">
        <v>50.2</v>
      </c>
      <c r="AH17" s="41">
        <v>0.31</v>
      </c>
      <c r="AI17" s="41">
        <v>0</v>
      </c>
      <c r="AJ17" s="41">
        <v>0</v>
      </c>
      <c r="AK17" s="41">
        <v>0</v>
      </c>
      <c r="AL17" s="41">
        <v>0</v>
      </c>
      <c r="AM17" s="41">
        <v>0</v>
      </c>
      <c r="AO17" s="43">
        <f aca="true" t="shared" si="35" ref="AO17:AO25">100*(L17/40.3)/(L17/40.3+J17/71.85)</f>
        <v>73.12983407067242</v>
      </c>
      <c r="AP17" s="43">
        <f aca="true" t="shared" si="36" ref="AP17:AP25">100*CD17/(CD17+CB17)</f>
        <v>90.32197802995833</v>
      </c>
      <c r="AQ17" s="47"/>
      <c r="AR17" s="44">
        <f t="shared" si="1"/>
        <v>0.29162006566231835</v>
      </c>
      <c r="AS17"/>
      <c r="AT17" s="43">
        <f t="shared" si="2"/>
        <v>3.7343148003569584</v>
      </c>
      <c r="AU17" s="43">
        <f t="shared" si="3"/>
        <v>3.7195748605739114</v>
      </c>
      <c r="AV17" s="45">
        <f aca="true" t="shared" si="37" ref="AV17:AV25">CW17/CX17-273.15</f>
        <v>1375.6976184769946</v>
      </c>
      <c r="AW17" s="45">
        <f aca="true" t="shared" si="38" ref="AW17:AW25">(DC17-273.15)+54*DF17+2*DF17^2</f>
        <v>1376.6214964664023</v>
      </c>
      <c r="AX17" s="45">
        <f aca="true" t="shared" si="39" ref="AX16:AX25">(15294.6+1318.8*DF17+2.4834*DF17^2)/(8.048+2.8352*LN(DQ17)+2.097*LN(1.5*DI17)+2.575*LN(3*DJ17)-1.41*DH17+0.222*R17+0.5*DF17)</f>
        <v>1359.0653647010124</v>
      </c>
      <c r="AY17" s="42">
        <f aca="true" t="shared" si="40" ref="AY16:AY25">1/((LN(AT17)+2.158-5.115*10^-2*(N17+O17)+6.213*10^-2*R17)/(55.09*C17+4430))</f>
        <v>1362.3279224968155</v>
      </c>
      <c r="AZ17" s="45">
        <f aca="true" t="shared" si="41" ref="AZ17:AZ25">DW17</f>
        <v>1264.8592550619446</v>
      </c>
      <c r="BC17" s="19" t="s">
        <v>147</v>
      </c>
      <c r="BE17" s="19">
        <f aca="true" t="shared" si="42" ref="BE17:BE25">G17/60.08</f>
        <v>0.78728362183755</v>
      </c>
      <c r="BF17" s="19">
        <f aca="true" t="shared" si="43" ref="BF17:BF25">H17/79.9</f>
        <v>0.01564455569461827</v>
      </c>
      <c r="BG17" s="19">
        <f aca="true" t="shared" si="44" ref="BG17:BG25">I17*2/101.96</f>
        <v>0.3236563358179679</v>
      </c>
      <c r="BH17" s="19">
        <f aca="true" t="shared" si="45" ref="BH17:BH25">J17*$N$11/71.85</f>
        <v>0.10758524704244957</v>
      </c>
      <c r="BI17" s="19">
        <f aca="true" t="shared" si="46" ref="BI17:BI25">K17/70.94</f>
        <v>0.002537355511700028</v>
      </c>
      <c r="BJ17" s="19">
        <f aca="true" t="shared" si="47" ref="BJ17:BJ25">L17/40.3</f>
        <v>0.2928039702233251</v>
      </c>
      <c r="BK17" s="19">
        <f aca="true" t="shared" si="48" ref="BK17:BK25">M17/56.08</f>
        <v>0.1943651925820257</v>
      </c>
      <c r="BL17" s="19">
        <f aca="true" t="shared" si="49" ref="BL17:BL25">N17*2/61.98</f>
        <v>0.09616005162955793</v>
      </c>
      <c r="BM17" s="19">
        <f aca="true" t="shared" si="50" ref="BM17:BM25">O17*2/94.2</f>
        <v>0.002760084925690021</v>
      </c>
      <c r="BN17" s="19">
        <f aca="true" t="shared" si="51" ref="BN17:BN25">SUM(BE17:BM17)</f>
        <v>1.822796415264885</v>
      </c>
      <c r="BO17" s="19">
        <f t="shared" si="4"/>
        <v>0.4319097926924239</v>
      </c>
      <c r="BP17" s="19">
        <f t="shared" si="5"/>
        <v>0.008582722438778131</v>
      </c>
      <c r="BQ17" s="19">
        <f t="shared" si="6"/>
        <v>0.17756033153649514</v>
      </c>
      <c r="BR17" s="19">
        <f t="shared" si="7"/>
        <v>0.059022086142744304</v>
      </c>
      <c r="BS17" s="19">
        <f t="shared" si="8"/>
        <v>0.001392012564020379</v>
      </c>
      <c r="BT17" s="19">
        <f t="shared" si="9"/>
        <v>0.1606344887291077</v>
      </c>
      <c r="BU17" s="19">
        <f t="shared" si="10"/>
        <v>0.10663022538026055</v>
      </c>
      <c r="BV17" s="19">
        <f t="shared" si="11"/>
        <v>0.052754136898817715</v>
      </c>
      <c r="BW17" s="19">
        <f t="shared" si="12"/>
        <v>0.0015142036173518211</v>
      </c>
      <c r="BX17" s="19">
        <f aca="true" t="shared" si="52" ref="BX17:BX25">SUM(BO17:BW17)</f>
        <v>0.9999999999999994</v>
      </c>
      <c r="BY17" s="19">
        <f aca="true" t="shared" si="53" ref="BY17:BY25">AB17/60.08</f>
        <v>0.6874167776298269</v>
      </c>
      <c r="BZ17" s="19">
        <f aca="true" t="shared" si="54" ref="BZ17:BZ25">AC17/79.9</f>
        <v>0.0003754693366708385</v>
      </c>
      <c r="CA17" s="19">
        <f aca="true" t="shared" si="55" ref="CA17:CA25">AD17*2/101.96</f>
        <v>0.002157708905453119</v>
      </c>
      <c r="CB17" s="19">
        <f aca="true" t="shared" si="56" ref="CB17:CB25">AE17/71.85</f>
        <v>0.13347251217814893</v>
      </c>
      <c r="CC17" s="19">
        <f aca="true" t="shared" si="57" ref="CC17:CC25">AF17/70.94</f>
        <v>0.0019734987313222443</v>
      </c>
      <c r="CD17" s="19">
        <f aca="true" t="shared" si="58" ref="CD17:CD25">AG17/40.3</f>
        <v>1.2456575682382136</v>
      </c>
      <c r="CE17" s="19">
        <f aca="true" t="shared" si="59" ref="CE17:CE25">AH17/56.08</f>
        <v>0.005527817403708987</v>
      </c>
      <c r="CF17" s="19">
        <f aca="true" t="shared" si="60" ref="CF17:CF25">2*AI17/61.98</f>
        <v>0</v>
      </c>
      <c r="CG17" s="19">
        <f aca="true" t="shared" si="61" ref="CG17:CG25">2*AJ17/94.2</f>
        <v>0</v>
      </c>
      <c r="CH17" s="19">
        <f aca="true" t="shared" si="62" ref="CH17:CH25">SUM(BY17:CG17)</f>
        <v>2.0765813524233447</v>
      </c>
      <c r="CI17" s="19">
        <f t="shared" si="13"/>
        <v>0.33103291466410406</v>
      </c>
      <c r="CJ17" s="19">
        <f t="shared" si="14"/>
        <v>0.00018081128207795492</v>
      </c>
      <c r="CK17" s="19">
        <f t="shared" si="15"/>
        <v>0.001039067842410845</v>
      </c>
      <c r="CL17" s="19">
        <f t="shared" si="16"/>
        <v>0.06427511834409384</v>
      </c>
      <c r="CM17" s="19">
        <f t="shared" si="17"/>
        <v>0.0009503594593196147</v>
      </c>
      <c r="CN17" s="19">
        <f t="shared" si="18"/>
        <v>0.5998597487088799</v>
      </c>
      <c r="CO17" s="19">
        <f t="shared" si="19"/>
        <v>0.0026619796991136863</v>
      </c>
      <c r="CP17" s="19">
        <f t="shared" si="20"/>
        <v>0</v>
      </c>
      <c r="CQ17" s="19">
        <f t="shared" si="21"/>
        <v>0</v>
      </c>
      <c r="CR17" s="19">
        <f aca="true" t="shared" si="63" ref="CR17:CR25">BT17+BR17+BU17+BS17</f>
        <v>0.327678812816133</v>
      </c>
      <c r="CS17" s="19">
        <f aca="true" t="shared" si="64" ref="CS17:CS25">BO17</f>
        <v>0.4319097926924239</v>
      </c>
      <c r="CT17" s="19">
        <f aca="true" t="shared" si="65" ref="CT17:CT25">(7/2)*LN(1-BQ17)+7*LN(1-BP17)</f>
        <v>-0.7445188893302453</v>
      </c>
      <c r="CW17" s="19">
        <f aca="true" t="shared" si="66" ref="CW17:CW25">113.1*1000/8.3144+(DF17*10^9-10^5)*4.11*(10^-6)/8.3144</f>
        <v>14393.773333012605</v>
      </c>
      <c r="CX17" s="19">
        <f t="shared" si="22"/>
        <v>8.72959585331956</v>
      </c>
      <c r="CY17" s="19">
        <f aca="true" t="shared" si="67" ref="CY17:CY25">CW17/CX17</f>
        <v>1648.8476184769945</v>
      </c>
      <c r="DA17" s="19">
        <f aca="true" t="shared" si="68" ref="DA17:DA25">113.1*1000/8.3144+(0.0001*10^9-10^5)*4.11*(10^-6)/8.3144</f>
        <v>13602.905801982104</v>
      </c>
      <c r="DB17" s="19">
        <f t="shared" si="23"/>
        <v>8.72959585331956</v>
      </c>
      <c r="DC17" s="19">
        <f aca="true" t="shared" si="69" ref="DC17:DC25">DA17/DB17</f>
        <v>1558.2514964664022</v>
      </c>
      <c r="DE17" s="19">
        <v>1330</v>
      </c>
      <c r="DF17" s="19">
        <f aca="true" t="shared" si="70" ref="DF17:DF25">C17</f>
        <v>1.6</v>
      </c>
      <c r="DG17" s="19">
        <f aca="true" t="shared" si="71" ref="DG16:DG25">IF(AR17&gt;0,1,0)</f>
        <v>1</v>
      </c>
      <c r="DH17" s="19">
        <f aca="true" t="shared" si="72" ref="DH17:DH25">(7/2)*LN(1-BQ17)+7*LN(1-BP17)</f>
        <v>-0.7445188893302453</v>
      </c>
      <c r="DI17" s="19">
        <f aca="true" t="shared" si="73" ref="DI17:DI25">BT17+BR17+BS17+BU17</f>
        <v>0.327678812816133</v>
      </c>
      <c r="DJ17" s="19">
        <f aca="true" t="shared" si="74" ref="DJ17:DJ25">BO17</f>
        <v>0.4319097926924239</v>
      </c>
      <c r="DK17" s="19">
        <f aca="true" t="shared" si="75" ref="DK17:DK25">(0.666-(-0.049*BS17+0.027*BR17))/(BT17+0.259*BS17+0.299*BR17)</f>
        <v>3.7195748605739114</v>
      </c>
      <c r="DL17" s="19">
        <f aca="true" t="shared" si="76" ref="DL17:DL25">13603+4.943*10^-7*(C17*10^9-10^-5)</f>
        <v>14393.879999999996</v>
      </c>
      <c r="DM17" s="19">
        <f aca="true" t="shared" si="77" ref="DM17:DM25">6.26+2*LN(DK17)+2*LN(1.5*DI17)+2*LN(3*DJ17)-DH17</f>
        <v>8.729372626147425</v>
      </c>
      <c r="DN17" s="19">
        <f aca="true" t="shared" si="78" ref="DN17:DN25">(DL17/DM17)-273.15</f>
        <v>1375.7520020620332</v>
      </c>
      <c r="DO17" s="19">
        <f aca="true" t="shared" si="79" ref="DO17:DO25">(13603+4.943*10^-7*(0.0001*10^9-10^-5))/(6.26+2*LN(DK17)+2*LN(1.5*DI17)+2*LN(3*DJ17)-DH17)-273.15</f>
        <v>1285.1577974302827</v>
      </c>
      <c r="DP17" s="19">
        <f t="shared" si="24"/>
        <v>1366.437797430283</v>
      </c>
      <c r="DQ17" s="25">
        <f aca="true" t="shared" si="80" ref="DQ17:DQ25">CN17/BT17</f>
        <v>3.7343148003569584</v>
      </c>
      <c r="DR17" s="19">
        <f t="shared" si="25"/>
        <v>3.316487848035399</v>
      </c>
      <c r="DS17" s="19">
        <f aca="true" t="shared" si="81" ref="DS17:DS25">55.09*DF17+4430</f>
        <v>4518.144</v>
      </c>
      <c r="DT17" s="19">
        <f aca="true" t="shared" si="82" ref="DT17:DT25">DS17/DR17</f>
        <v>1362.3279224968157</v>
      </c>
      <c r="DV17" s="19">
        <f aca="true" t="shared" si="83" ref="DV17:DV25">CN17/(BT17*BO17^0.5)</f>
        <v>5.682172323358186</v>
      </c>
      <c r="DW17" s="19">
        <f aca="true" t="shared" si="84" ref="DW16:DW25">(4129+0.0146*(DF17*10*1000-1))/(LOG(DV17)+2.082)-273.15</f>
        <v>1264.8592550619446</v>
      </c>
      <c r="DX17" s="19">
        <f aca="true" t="shared" si="85" ref="DX17:DX25">DE17</f>
        <v>1330</v>
      </c>
      <c r="DZ17" s="19">
        <f aca="true" t="shared" si="86" ref="DZ17:DZ25">G17/60.08</f>
        <v>0.78728362183755</v>
      </c>
      <c r="EA17" s="19">
        <f aca="true" t="shared" si="87" ref="EA17:EA25">H17/79.9</f>
        <v>0.01564455569461827</v>
      </c>
      <c r="EB17" s="19">
        <f aca="true" t="shared" si="88" ref="EB17:EB25">I17/101.96</f>
        <v>0.16182816790898394</v>
      </c>
      <c r="EC17" s="19">
        <f aca="true" t="shared" si="89" ref="EC17:EC25">J17/71.85</f>
        <v>0.10758524704244957</v>
      </c>
      <c r="ED17" s="19">
        <f aca="true" t="shared" si="90" ref="ED17:ED25">K17/70.94</f>
        <v>0.002537355511700028</v>
      </c>
      <c r="EE17" s="19">
        <f aca="true" t="shared" si="91" ref="EE17:EE25">L17/40.3</f>
        <v>0.2928039702233251</v>
      </c>
      <c r="EF17" s="19">
        <f aca="true" t="shared" si="92" ref="EF17:EF25">M17/56.08</f>
        <v>0.1943651925820257</v>
      </c>
      <c r="EG17" s="19">
        <f aca="true" t="shared" si="93" ref="EG17:EG25">N17/61.98</f>
        <v>0.048080025814778965</v>
      </c>
      <c r="EH17" s="19">
        <f aca="true" t="shared" si="94" ref="EH17:EH25">O17/94.2</f>
        <v>0.0013800424628450105</v>
      </c>
      <c r="EI17" s="19">
        <f t="shared" si="26"/>
        <v>1.6115081790782766</v>
      </c>
      <c r="EJ17" s="19">
        <f aca="true" t="shared" si="95" ref="EJ17:EJ25">DZ17/$EI17</f>
        <v>0.4885383965521337</v>
      </c>
      <c r="EK17" s="19">
        <f t="shared" si="27"/>
        <v>0.00970802127952362</v>
      </c>
      <c r="EL17" s="19">
        <f t="shared" si="27"/>
        <v>0.10042032054813628</v>
      </c>
      <c r="EM17" s="19">
        <f t="shared" si="27"/>
        <v>0.06676059634024592</v>
      </c>
      <c r="EN17" s="19">
        <f t="shared" si="27"/>
        <v>0.0015745222671791229</v>
      </c>
      <c r="EO17" s="19">
        <f t="shared" si="27"/>
        <v>0.18169561534015807</v>
      </c>
      <c r="EP17" s="19">
        <f t="shared" si="27"/>
        <v>0.12061073912339398</v>
      </c>
      <c r="EQ17" s="19">
        <f t="shared" si="27"/>
        <v>0.02983542152561644</v>
      </c>
      <c r="ER17" s="19">
        <f t="shared" si="27"/>
        <v>0.0008563670236128396</v>
      </c>
      <c r="ES17" s="19">
        <f t="shared" si="28"/>
        <v>1</v>
      </c>
    </row>
    <row r="18" spans="1:149" ht="15.75">
      <c r="A18" s="19" t="s">
        <v>143</v>
      </c>
      <c r="B18" s="19" t="s">
        <v>148</v>
      </c>
      <c r="C18" s="48">
        <v>1.6</v>
      </c>
      <c r="D18" s="20">
        <v>1325</v>
      </c>
      <c r="F18" s="40">
        <v>5214</v>
      </c>
      <c r="G18" s="41">
        <v>48.1</v>
      </c>
      <c r="H18" s="41">
        <v>1.77</v>
      </c>
      <c r="I18" s="41">
        <v>17.6</v>
      </c>
      <c r="J18" s="41">
        <v>10.4</v>
      </c>
      <c r="K18" s="41">
        <v>0.11</v>
      </c>
      <c r="L18" s="41">
        <v>7.83</v>
      </c>
      <c r="M18" s="41">
        <v>7.69</v>
      </c>
      <c r="N18" s="41">
        <v>5.61</v>
      </c>
      <c r="O18" s="41">
        <v>0.36</v>
      </c>
      <c r="P18" s="41">
        <v>0.03</v>
      </c>
      <c r="Q18" s="41">
        <v>0.36</v>
      </c>
      <c r="R18" s="41">
        <v>0</v>
      </c>
      <c r="S18" s="19">
        <f t="shared" si="29"/>
        <v>99.86</v>
      </c>
      <c r="U18" s="42">
        <f t="shared" si="30"/>
        <v>1200.329</v>
      </c>
      <c r="V18" s="42">
        <f t="shared" si="31"/>
        <v>1251.5065505767766</v>
      </c>
      <c r="W18" s="42">
        <f t="shared" si="32"/>
        <v>1279.673677650232</v>
      </c>
      <c r="X18" s="42">
        <f t="shared" si="0"/>
        <v>1280.7350877608496</v>
      </c>
      <c r="Y18" s="42">
        <f t="shared" si="33"/>
        <v>1171.383</v>
      </c>
      <c r="Z18" s="42">
        <f t="shared" si="34"/>
        <v>1095.654</v>
      </c>
      <c r="AB18" s="41">
        <v>39.7</v>
      </c>
      <c r="AC18" s="41">
        <v>0.05</v>
      </c>
      <c r="AD18" s="41">
        <v>0.11</v>
      </c>
      <c r="AE18" s="41">
        <v>15.6</v>
      </c>
      <c r="AF18" s="41">
        <v>0.18</v>
      </c>
      <c r="AG18" s="41">
        <v>44.5</v>
      </c>
      <c r="AH18" s="41">
        <v>0.31</v>
      </c>
      <c r="AI18" s="41">
        <v>0</v>
      </c>
      <c r="AJ18" s="41">
        <v>0</v>
      </c>
      <c r="AK18" s="41">
        <v>0.03</v>
      </c>
      <c r="AL18" s="41">
        <v>0</v>
      </c>
      <c r="AM18" s="41">
        <v>0</v>
      </c>
      <c r="AO18" s="43">
        <f t="shared" si="35"/>
        <v>57.30695203398575</v>
      </c>
      <c r="AP18" s="43">
        <f t="shared" si="36"/>
        <v>83.56823893329987</v>
      </c>
      <c r="AQ18" s="47"/>
      <c r="AR18" s="44">
        <f t="shared" si="1"/>
        <v>0.26393258426966293</v>
      </c>
      <c r="AS18"/>
      <c r="AT18" s="43">
        <f t="shared" si="2"/>
        <v>5.230991326891543</v>
      </c>
      <c r="AU18" s="43">
        <f t="shared" si="3"/>
        <v>5.117621273238416</v>
      </c>
      <c r="AV18" s="45">
        <f t="shared" si="37"/>
        <v>1326.2473515005227</v>
      </c>
      <c r="AW18" s="45">
        <f t="shared" si="38"/>
        <v>1329.8882800956103</v>
      </c>
      <c r="AX18" s="45">
        <f t="shared" si="39"/>
        <v>1298.276220641555</v>
      </c>
      <c r="AY18" s="42">
        <f t="shared" si="40"/>
        <v>1288.2352067450724</v>
      </c>
      <c r="AZ18" s="45">
        <f t="shared" si="41"/>
        <v>1190.5003835913244</v>
      </c>
      <c r="BC18" s="19" t="s">
        <v>149</v>
      </c>
      <c r="BE18" s="19">
        <f t="shared" si="42"/>
        <v>0.8005992010652464</v>
      </c>
      <c r="BF18" s="19">
        <f t="shared" si="43"/>
        <v>0.022152690863579474</v>
      </c>
      <c r="BG18" s="19">
        <f t="shared" si="44"/>
        <v>0.3452334248724991</v>
      </c>
      <c r="BH18" s="19">
        <f t="shared" si="45"/>
        <v>0.14474599860821158</v>
      </c>
      <c r="BI18" s="19">
        <f t="shared" si="46"/>
        <v>0.0015506061460389062</v>
      </c>
      <c r="BJ18" s="19">
        <f t="shared" si="47"/>
        <v>0.19429280397022333</v>
      </c>
      <c r="BK18" s="19">
        <f t="shared" si="48"/>
        <v>0.13712553495007135</v>
      </c>
      <c r="BL18" s="19">
        <f t="shared" si="49"/>
        <v>0.181026137463698</v>
      </c>
      <c r="BM18" s="19">
        <f t="shared" si="50"/>
        <v>0.007643312101910827</v>
      </c>
      <c r="BN18" s="19">
        <f t="shared" si="51"/>
        <v>1.834369710041479</v>
      </c>
      <c r="BO18" s="19">
        <f t="shared" si="4"/>
        <v>0.43644375323180795</v>
      </c>
      <c r="BP18" s="19">
        <f t="shared" si="5"/>
        <v>0.012076459146874243</v>
      </c>
      <c r="BQ18" s="19">
        <f t="shared" si="6"/>
        <v>0.18820275050480015</v>
      </c>
      <c r="BR18" s="19">
        <f t="shared" si="7"/>
        <v>0.07890775660754808</v>
      </c>
      <c r="BS18" s="19">
        <f t="shared" si="8"/>
        <v>0.0008453073213926126</v>
      </c>
      <c r="BT18" s="19">
        <f t="shared" si="9"/>
        <v>0.10591801800185087</v>
      </c>
      <c r="BU18" s="19">
        <f t="shared" si="10"/>
        <v>0.07475348845951596</v>
      </c>
      <c r="BV18" s="19">
        <f t="shared" si="11"/>
        <v>0.09868574283185509</v>
      </c>
      <c r="BW18" s="19">
        <f t="shared" si="12"/>
        <v>0.004166723894354969</v>
      </c>
      <c r="BX18" s="19">
        <f t="shared" si="52"/>
        <v>1</v>
      </c>
      <c r="BY18" s="19">
        <f t="shared" si="53"/>
        <v>0.6607856191744341</v>
      </c>
      <c r="BZ18" s="19">
        <f t="shared" si="54"/>
        <v>0.0006257822277847309</v>
      </c>
      <c r="CA18" s="19">
        <f t="shared" si="55"/>
        <v>0.002157708905453119</v>
      </c>
      <c r="CB18" s="19">
        <f t="shared" si="56"/>
        <v>0.21711899791231734</v>
      </c>
      <c r="CC18" s="19">
        <f t="shared" si="57"/>
        <v>0.002537355511700028</v>
      </c>
      <c r="CD18" s="19">
        <f t="shared" si="58"/>
        <v>1.1042183622828785</v>
      </c>
      <c r="CE18" s="19">
        <f t="shared" si="59"/>
        <v>0.005527817403708987</v>
      </c>
      <c r="CF18" s="19">
        <f t="shared" si="60"/>
        <v>0</v>
      </c>
      <c r="CG18" s="19">
        <f t="shared" si="61"/>
        <v>0</v>
      </c>
      <c r="CH18" s="19">
        <f t="shared" si="62"/>
        <v>1.9929716434182767</v>
      </c>
      <c r="CI18" s="19">
        <f t="shared" si="13"/>
        <v>0.3315579633843045</v>
      </c>
      <c r="CJ18" s="19">
        <f t="shared" si="14"/>
        <v>0.00031399454671186925</v>
      </c>
      <c r="CK18" s="19">
        <f t="shared" si="15"/>
        <v>0.0010826591098668573</v>
      </c>
      <c r="CL18" s="19">
        <f t="shared" si="16"/>
        <v>0.10894234176855737</v>
      </c>
      <c r="CM18" s="19">
        <f t="shared" si="17"/>
        <v>0.001273151838401495</v>
      </c>
      <c r="CN18" s="19">
        <f t="shared" si="18"/>
        <v>0.5540562335292242</v>
      </c>
      <c r="CO18" s="19">
        <f t="shared" si="19"/>
        <v>0.0027736558229337696</v>
      </c>
      <c r="CP18" s="19">
        <f t="shared" si="20"/>
        <v>0</v>
      </c>
      <c r="CQ18" s="19">
        <f t="shared" si="21"/>
        <v>0</v>
      </c>
      <c r="CR18" s="19">
        <f t="shared" si="63"/>
        <v>0.2604245703903075</v>
      </c>
      <c r="CS18" s="19">
        <f t="shared" si="64"/>
        <v>0.43644375323180795</v>
      </c>
      <c r="CT18" s="19">
        <f t="shared" si="65"/>
        <v>-0.8148161237911181</v>
      </c>
      <c r="CW18" s="19">
        <f t="shared" si="66"/>
        <v>14393.773333012605</v>
      </c>
      <c r="CX18" s="19">
        <f t="shared" si="22"/>
        <v>8.999498041877244</v>
      </c>
      <c r="CY18" s="19">
        <f t="shared" si="67"/>
        <v>1599.3973515005227</v>
      </c>
      <c r="DA18" s="19">
        <f t="shared" si="68"/>
        <v>13602.905801982104</v>
      </c>
      <c r="DB18" s="19">
        <f t="shared" si="23"/>
        <v>8.999498041877244</v>
      </c>
      <c r="DC18" s="19">
        <f t="shared" si="69"/>
        <v>1511.5182800956102</v>
      </c>
      <c r="DE18" s="19">
        <v>1325</v>
      </c>
      <c r="DF18" s="19">
        <f t="shared" si="70"/>
        <v>1.6</v>
      </c>
      <c r="DG18" s="19">
        <f t="shared" si="71"/>
        <v>1</v>
      </c>
      <c r="DH18" s="19">
        <f t="shared" si="72"/>
        <v>-0.8148161237911181</v>
      </c>
      <c r="DI18" s="19">
        <f t="shared" si="73"/>
        <v>0.26042457039030753</v>
      </c>
      <c r="DJ18" s="19">
        <f t="shared" si="74"/>
        <v>0.43644375323180795</v>
      </c>
      <c r="DK18" s="19">
        <f t="shared" si="75"/>
        <v>5.117621273238416</v>
      </c>
      <c r="DL18" s="19">
        <f t="shared" si="76"/>
        <v>14393.879999999996</v>
      </c>
      <c r="DM18" s="19">
        <f t="shared" si="77"/>
        <v>8.99927481470511</v>
      </c>
      <c r="DN18" s="19">
        <f t="shared" si="78"/>
        <v>1326.2988774228702</v>
      </c>
      <c r="DO18" s="19">
        <f t="shared" si="79"/>
        <v>1238.4217332881276</v>
      </c>
      <c r="DP18" s="19">
        <f t="shared" si="24"/>
        <v>1319.7017332881278</v>
      </c>
      <c r="DQ18" s="25">
        <f t="shared" si="80"/>
        <v>5.230991326891543</v>
      </c>
      <c r="DR18" s="19">
        <f t="shared" si="25"/>
        <v>3.5072353063659834</v>
      </c>
      <c r="DS18" s="19">
        <f t="shared" si="81"/>
        <v>4518.144</v>
      </c>
      <c r="DT18" s="19">
        <f t="shared" si="82"/>
        <v>1288.2352067450724</v>
      </c>
      <c r="DV18" s="19">
        <f t="shared" si="83"/>
        <v>7.918079520655637</v>
      </c>
      <c r="DW18" s="19">
        <f t="shared" si="84"/>
        <v>1190.5003835913244</v>
      </c>
      <c r="DX18" s="19">
        <f t="shared" si="85"/>
        <v>1325</v>
      </c>
      <c r="DZ18" s="19">
        <f t="shared" si="86"/>
        <v>0.8005992010652464</v>
      </c>
      <c r="EA18" s="19">
        <f t="shared" si="87"/>
        <v>0.022152690863579474</v>
      </c>
      <c r="EB18" s="19">
        <f t="shared" si="88"/>
        <v>0.17261671243624954</v>
      </c>
      <c r="EC18" s="19">
        <f t="shared" si="89"/>
        <v>0.14474599860821158</v>
      </c>
      <c r="ED18" s="19">
        <f t="shared" si="90"/>
        <v>0.0015506061460389062</v>
      </c>
      <c r="EE18" s="19">
        <f t="shared" si="91"/>
        <v>0.19429280397022333</v>
      </c>
      <c r="EF18" s="19">
        <f t="shared" si="92"/>
        <v>0.13712553495007135</v>
      </c>
      <c r="EG18" s="19">
        <f t="shared" si="93"/>
        <v>0.090513068731849</v>
      </c>
      <c r="EH18" s="19">
        <f t="shared" si="94"/>
        <v>0.0038216560509554136</v>
      </c>
      <c r="EI18" s="19">
        <f t="shared" si="26"/>
        <v>1.5674182728224249</v>
      </c>
      <c r="EJ18" s="19">
        <f t="shared" si="95"/>
        <v>0.5107757226943771</v>
      </c>
      <c r="EK18" s="19">
        <f t="shared" si="27"/>
        <v>0.01413323504496951</v>
      </c>
      <c r="EL18" s="19">
        <f t="shared" si="27"/>
        <v>0.11012804650121974</v>
      </c>
      <c r="EM18" s="19">
        <f t="shared" si="27"/>
        <v>0.09234675971179651</v>
      </c>
      <c r="EN18" s="19">
        <f t="shared" si="27"/>
        <v>0.000989274001027661</v>
      </c>
      <c r="EO18" s="19">
        <f t="shared" si="27"/>
        <v>0.12395721508360587</v>
      </c>
      <c r="EP18" s="19">
        <f t="shared" si="27"/>
        <v>0.08748496641113646</v>
      </c>
      <c r="EQ18" s="19">
        <f t="shared" si="27"/>
        <v>0.05774659534169113</v>
      </c>
      <c r="ER18" s="19">
        <f t="shared" si="27"/>
        <v>0.0024381852101761064</v>
      </c>
      <c r="ES18" s="19">
        <f t="shared" si="28"/>
        <v>1.0000000000000002</v>
      </c>
    </row>
    <row r="19" spans="1:149" ht="15.75">
      <c r="A19" s="19" t="s">
        <v>143</v>
      </c>
      <c r="B19" s="19" t="s">
        <v>150</v>
      </c>
      <c r="C19" s="48">
        <v>1.6</v>
      </c>
      <c r="D19" s="20">
        <v>1340</v>
      </c>
      <c r="F19" s="40">
        <v>5213</v>
      </c>
      <c r="G19" s="41">
        <v>47.3</v>
      </c>
      <c r="H19" s="41">
        <v>1.42</v>
      </c>
      <c r="I19" s="41">
        <v>17.8</v>
      </c>
      <c r="J19" s="41">
        <v>9.92</v>
      </c>
      <c r="K19" s="41">
        <v>0.16</v>
      </c>
      <c r="L19" s="41">
        <v>8.9</v>
      </c>
      <c r="M19" s="41">
        <v>9.94</v>
      </c>
      <c r="N19" s="41">
        <v>3.86</v>
      </c>
      <c r="O19" s="41">
        <v>0.22</v>
      </c>
      <c r="P19" s="41">
        <v>0.03</v>
      </c>
      <c r="Q19" s="41">
        <v>0.32</v>
      </c>
      <c r="R19" s="41">
        <v>0</v>
      </c>
      <c r="S19" s="19">
        <f t="shared" si="29"/>
        <v>99.86999999999999</v>
      </c>
      <c r="U19" s="42">
        <f t="shared" si="30"/>
        <v>1228.47</v>
      </c>
      <c r="V19" s="42">
        <f t="shared" si="31"/>
        <v>1254.160650390814</v>
      </c>
      <c r="W19" s="42">
        <f t="shared" si="32"/>
        <v>1290.643142742713</v>
      </c>
      <c r="X19" s="42">
        <f t="shared" si="0"/>
        <v>1305.9039398228153</v>
      </c>
      <c r="Y19" s="42">
        <f t="shared" si="33"/>
        <v>1192.89</v>
      </c>
      <c r="Z19" s="42">
        <f t="shared" si="34"/>
        <v>1133.004</v>
      </c>
      <c r="AB19" s="41">
        <v>40.5</v>
      </c>
      <c r="AC19" s="41">
        <v>0.05</v>
      </c>
      <c r="AD19" s="41">
        <v>0.1</v>
      </c>
      <c r="AE19" s="41">
        <v>13.2</v>
      </c>
      <c r="AF19" s="41">
        <v>0.18</v>
      </c>
      <c r="AG19" s="41">
        <v>46.8</v>
      </c>
      <c r="AH19" s="41">
        <v>0.29</v>
      </c>
      <c r="AI19" s="41">
        <v>0</v>
      </c>
      <c r="AJ19" s="41">
        <v>0</v>
      </c>
      <c r="AK19" s="41">
        <v>0.02</v>
      </c>
      <c r="AL19" s="41">
        <v>0</v>
      </c>
      <c r="AM19" s="41">
        <v>0</v>
      </c>
      <c r="AO19" s="43">
        <f t="shared" si="35"/>
        <v>61.53192570347013</v>
      </c>
      <c r="AP19" s="43">
        <f t="shared" si="36"/>
        <v>86.34087722811937</v>
      </c>
      <c r="AQ19" s="47"/>
      <c r="AR19" s="44">
        <f t="shared" si="1"/>
        <v>0.253050041356493</v>
      </c>
      <c r="AS19"/>
      <c r="AT19" s="43">
        <f t="shared" si="2"/>
        <v>4.720633430816764</v>
      </c>
      <c r="AU19" s="43">
        <f t="shared" si="3"/>
        <v>4.604842863831165</v>
      </c>
      <c r="AV19" s="45">
        <f t="shared" si="37"/>
        <v>1322.6362490766014</v>
      </c>
      <c r="AW19" s="45">
        <f t="shared" si="38"/>
        <v>1326.4755901096391</v>
      </c>
      <c r="AX19" s="45">
        <f t="shared" si="39"/>
        <v>1303.4857974326235</v>
      </c>
      <c r="AY19" s="42">
        <f t="shared" si="40"/>
        <v>1290.437049578886</v>
      </c>
      <c r="AZ19" s="45">
        <f t="shared" si="41"/>
        <v>1211.636140418943</v>
      </c>
      <c r="BC19" s="19" t="s">
        <v>149</v>
      </c>
      <c r="BE19" s="19">
        <f t="shared" si="42"/>
        <v>0.78728362183755</v>
      </c>
      <c r="BF19" s="19">
        <f t="shared" si="43"/>
        <v>0.017772215269086355</v>
      </c>
      <c r="BG19" s="19">
        <f t="shared" si="44"/>
        <v>0.3491565319733229</v>
      </c>
      <c r="BH19" s="19">
        <f t="shared" si="45"/>
        <v>0.13806541405706332</v>
      </c>
      <c r="BI19" s="19">
        <f t="shared" si="46"/>
        <v>0.002255427121511136</v>
      </c>
      <c r="BJ19" s="19">
        <f t="shared" si="47"/>
        <v>0.2208436724565757</v>
      </c>
      <c r="BK19" s="19">
        <f t="shared" si="48"/>
        <v>0.17724679029957205</v>
      </c>
      <c r="BL19" s="19">
        <f t="shared" si="49"/>
        <v>0.12455630848660859</v>
      </c>
      <c r="BM19" s="19">
        <f t="shared" si="50"/>
        <v>0.004670912951167728</v>
      </c>
      <c r="BN19" s="19">
        <f t="shared" si="51"/>
        <v>1.8218508944524578</v>
      </c>
      <c r="BO19" s="19">
        <f t="shared" si="4"/>
        <v>0.43213394918038095</v>
      </c>
      <c r="BP19" s="19">
        <f t="shared" si="5"/>
        <v>0.009755032820305334</v>
      </c>
      <c r="BQ19" s="19">
        <f t="shared" si="6"/>
        <v>0.1916493457486042</v>
      </c>
      <c r="BR19" s="19">
        <f t="shared" si="7"/>
        <v>0.07578304815035795</v>
      </c>
      <c r="BS19" s="19">
        <f t="shared" si="8"/>
        <v>0.0012379866696988866</v>
      </c>
      <c r="BT19" s="19">
        <f t="shared" si="9"/>
        <v>0.12121940007771516</v>
      </c>
      <c r="BU19" s="19">
        <f t="shared" si="10"/>
        <v>0.09728940542790254</v>
      </c>
      <c r="BV19" s="19">
        <f t="shared" si="11"/>
        <v>0.06836800358683741</v>
      </c>
      <c r="BW19" s="19">
        <f t="shared" si="12"/>
        <v>0.0025638283381975296</v>
      </c>
      <c r="BX19" s="19">
        <f t="shared" si="52"/>
        <v>1</v>
      </c>
      <c r="BY19" s="19">
        <f t="shared" si="53"/>
        <v>0.6741011984021306</v>
      </c>
      <c r="BZ19" s="19">
        <f t="shared" si="54"/>
        <v>0.0006257822277847309</v>
      </c>
      <c r="CA19" s="19">
        <f t="shared" si="55"/>
        <v>0.0019615535504119265</v>
      </c>
      <c r="CB19" s="19">
        <f t="shared" si="56"/>
        <v>0.1837160751565762</v>
      </c>
      <c r="CC19" s="19">
        <f t="shared" si="57"/>
        <v>0.002537355511700028</v>
      </c>
      <c r="CD19" s="19">
        <f t="shared" si="58"/>
        <v>1.1612903225806452</v>
      </c>
      <c r="CE19" s="19">
        <f t="shared" si="59"/>
        <v>0.005171184022824536</v>
      </c>
      <c r="CF19" s="19">
        <f t="shared" si="60"/>
        <v>0</v>
      </c>
      <c r="CG19" s="19">
        <f t="shared" si="61"/>
        <v>0</v>
      </c>
      <c r="CH19" s="19">
        <f t="shared" si="62"/>
        <v>2.0294034714520732</v>
      </c>
      <c r="CI19" s="19">
        <f t="shared" si="13"/>
        <v>0.3321671653196688</v>
      </c>
      <c r="CJ19" s="19">
        <f t="shared" si="14"/>
        <v>0.0003083577201811786</v>
      </c>
      <c r="CK19" s="19">
        <f t="shared" si="15"/>
        <v>0.0009665665689476726</v>
      </c>
      <c r="CL19" s="19">
        <f t="shared" si="16"/>
        <v>0.09052713161327362</v>
      </c>
      <c r="CM19" s="19">
        <f t="shared" si="17"/>
        <v>0.0012502962310813957</v>
      </c>
      <c r="CN19" s="19">
        <f t="shared" si="18"/>
        <v>0.5722323524704144</v>
      </c>
      <c r="CO19" s="19">
        <f t="shared" si="19"/>
        <v>0.002548130076432985</v>
      </c>
      <c r="CP19" s="19">
        <f t="shared" si="20"/>
        <v>0</v>
      </c>
      <c r="CQ19" s="19">
        <f t="shared" si="21"/>
        <v>0</v>
      </c>
      <c r="CR19" s="19">
        <f t="shared" si="63"/>
        <v>0.29552984032567453</v>
      </c>
      <c r="CS19" s="19">
        <f t="shared" si="64"/>
        <v>0.43213394918038095</v>
      </c>
      <c r="CT19" s="19">
        <f t="shared" si="65"/>
        <v>-0.8132781520545939</v>
      </c>
      <c r="CW19" s="19">
        <f t="shared" si="66"/>
        <v>14393.773333012605</v>
      </c>
      <c r="CX19" s="19">
        <f t="shared" si="22"/>
        <v>9.019862993143056</v>
      </c>
      <c r="CY19" s="19">
        <f t="shared" si="67"/>
        <v>1595.7862490766015</v>
      </c>
      <c r="DA19" s="19">
        <f t="shared" si="68"/>
        <v>13602.905801982104</v>
      </c>
      <c r="DB19" s="19">
        <f t="shared" si="23"/>
        <v>9.019862993143056</v>
      </c>
      <c r="DC19" s="19">
        <f t="shared" si="69"/>
        <v>1508.1055901096393</v>
      </c>
      <c r="DE19" s="19">
        <v>1340</v>
      </c>
      <c r="DF19" s="19">
        <f t="shared" si="70"/>
        <v>1.6</v>
      </c>
      <c r="DG19" s="19">
        <f t="shared" si="71"/>
        <v>1</v>
      </c>
      <c r="DH19" s="19">
        <f t="shared" si="72"/>
        <v>-0.8132781520545939</v>
      </c>
      <c r="DI19" s="19">
        <f t="shared" si="73"/>
        <v>0.29552984032567453</v>
      </c>
      <c r="DJ19" s="19">
        <f t="shared" si="74"/>
        <v>0.43213394918038095</v>
      </c>
      <c r="DK19" s="19">
        <f t="shared" si="75"/>
        <v>4.604842863831165</v>
      </c>
      <c r="DL19" s="19">
        <f t="shared" si="76"/>
        <v>14393.879999999996</v>
      </c>
      <c r="DM19" s="19">
        <f t="shared" si="77"/>
        <v>9.01963976597092</v>
      </c>
      <c r="DN19" s="19">
        <f t="shared" si="78"/>
        <v>1322.6875692901704</v>
      </c>
      <c r="DO19" s="19">
        <f t="shared" si="79"/>
        <v>1235.008838152412</v>
      </c>
      <c r="DP19" s="19">
        <f t="shared" si="24"/>
        <v>1316.2888381524122</v>
      </c>
      <c r="DQ19" s="25">
        <f t="shared" si="80"/>
        <v>4.720633430816764</v>
      </c>
      <c r="DR19" s="19">
        <f t="shared" si="25"/>
        <v>3.5012509920374852</v>
      </c>
      <c r="DS19" s="19">
        <f t="shared" si="81"/>
        <v>4518.144</v>
      </c>
      <c r="DT19" s="19">
        <f t="shared" si="82"/>
        <v>1290.437049578886</v>
      </c>
      <c r="DV19" s="19">
        <f t="shared" si="83"/>
        <v>7.181101816783312</v>
      </c>
      <c r="DW19" s="19">
        <f t="shared" si="84"/>
        <v>1211.636140418943</v>
      </c>
      <c r="DX19" s="19">
        <f t="shared" si="85"/>
        <v>1340</v>
      </c>
      <c r="DZ19" s="19">
        <f t="shared" si="86"/>
        <v>0.78728362183755</v>
      </c>
      <c r="EA19" s="19">
        <f t="shared" si="87"/>
        <v>0.017772215269086355</v>
      </c>
      <c r="EB19" s="19">
        <f t="shared" si="88"/>
        <v>0.17457826598666146</v>
      </c>
      <c r="EC19" s="19">
        <f t="shared" si="89"/>
        <v>0.13806541405706332</v>
      </c>
      <c r="ED19" s="19">
        <f t="shared" si="90"/>
        <v>0.002255427121511136</v>
      </c>
      <c r="EE19" s="19">
        <f t="shared" si="91"/>
        <v>0.2208436724565757</v>
      </c>
      <c r="EF19" s="19">
        <f t="shared" si="92"/>
        <v>0.17724679029957205</v>
      </c>
      <c r="EG19" s="19">
        <f t="shared" si="93"/>
        <v>0.062278154243304296</v>
      </c>
      <c r="EH19" s="19">
        <f t="shared" si="94"/>
        <v>0.002335456475583864</v>
      </c>
      <c r="EI19" s="19">
        <f t="shared" si="26"/>
        <v>1.5826590177469084</v>
      </c>
      <c r="EJ19" s="19">
        <f t="shared" si="95"/>
        <v>0.4974436142020888</v>
      </c>
      <c r="EK19" s="19">
        <f t="shared" si="27"/>
        <v>0.011229339402739501</v>
      </c>
      <c r="EL19" s="19">
        <f t="shared" si="27"/>
        <v>0.1103069353720886</v>
      </c>
      <c r="EM19" s="19">
        <f t="shared" si="27"/>
        <v>0.0872363614075348</v>
      </c>
      <c r="EN19" s="19">
        <f t="shared" si="27"/>
        <v>0.0014250872084386112</v>
      </c>
      <c r="EO19" s="19">
        <f t="shared" si="27"/>
        <v>0.13953964181809125</v>
      </c>
      <c r="EP19" s="19">
        <f t="shared" si="27"/>
        <v>0.1119930372316727</v>
      </c>
      <c r="EQ19" s="19">
        <f t="shared" si="27"/>
        <v>0.039350329758310286</v>
      </c>
      <c r="ER19" s="19">
        <f t="shared" si="27"/>
        <v>0.0014756535990352784</v>
      </c>
      <c r="ES19" s="19">
        <f t="shared" si="28"/>
        <v>0.9999999999999997</v>
      </c>
    </row>
    <row r="20" spans="1:149" ht="15.75">
      <c r="A20" s="19" t="s">
        <v>143</v>
      </c>
      <c r="B20" s="19" t="s">
        <v>151</v>
      </c>
      <c r="C20" s="48">
        <v>1.6</v>
      </c>
      <c r="D20" s="20">
        <v>1360</v>
      </c>
      <c r="F20" s="40">
        <v>5212</v>
      </c>
      <c r="G20" s="41">
        <v>47.4</v>
      </c>
      <c r="H20" s="41">
        <v>1.19</v>
      </c>
      <c r="I20" s="41">
        <v>15.8</v>
      </c>
      <c r="J20" s="41">
        <v>7.42</v>
      </c>
      <c r="K20" s="41">
        <v>0.27</v>
      </c>
      <c r="L20" s="41">
        <v>12.3</v>
      </c>
      <c r="M20" s="41">
        <v>10.6</v>
      </c>
      <c r="N20" s="41">
        <v>2.72</v>
      </c>
      <c r="O20" s="41">
        <v>0.14</v>
      </c>
      <c r="P20" s="41">
        <v>0.02</v>
      </c>
      <c r="Q20" s="41">
        <v>0.15</v>
      </c>
      <c r="R20" s="41">
        <v>0</v>
      </c>
      <c r="S20" s="19">
        <f t="shared" si="29"/>
        <v>98.00999999999999</v>
      </c>
      <c r="U20" s="42">
        <f t="shared" si="30"/>
        <v>1317.8899999999999</v>
      </c>
      <c r="V20" s="42">
        <f t="shared" si="31"/>
        <v>1323.958164163019</v>
      </c>
      <c r="W20" s="42">
        <f t="shared" si="32"/>
        <v>1348.2781033120752</v>
      </c>
      <c r="X20" s="42">
        <f t="shared" si="0"/>
        <v>1371.02861842918</v>
      </c>
      <c r="Y20" s="42">
        <f t="shared" si="33"/>
        <v>1261.23</v>
      </c>
      <c r="Z20" s="42">
        <f t="shared" si="34"/>
        <v>1143.96</v>
      </c>
      <c r="AB20" s="41">
        <v>40.5</v>
      </c>
      <c r="AC20" s="41">
        <v>0</v>
      </c>
      <c r="AD20" s="41">
        <v>0.1</v>
      </c>
      <c r="AE20" s="41">
        <v>9.41</v>
      </c>
      <c r="AF20" s="41">
        <v>0.1</v>
      </c>
      <c r="AG20" s="41">
        <v>49.3</v>
      </c>
      <c r="AH20" s="41">
        <v>0.31</v>
      </c>
      <c r="AI20" s="41">
        <v>0</v>
      </c>
      <c r="AJ20" s="41">
        <v>0</v>
      </c>
      <c r="AK20" s="41">
        <v>0</v>
      </c>
      <c r="AL20" s="41">
        <v>0</v>
      </c>
      <c r="AM20" s="41">
        <v>0</v>
      </c>
      <c r="AO20" s="43">
        <f t="shared" si="35"/>
        <v>74.71839672771206</v>
      </c>
      <c r="AP20" s="43">
        <f t="shared" si="36"/>
        <v>90.3294667146764</v>
      </c>
      <c r="AQ20" s="47"/>
      <c r="AR20" s="44">
        <f t="shared" si="1"/>
        <v>0.31640541707899816</v>
      </c>
      <c r="AS20"/>
      <c r="AT20" s="43">
        <f t="shared" si="2"/>
        <v>3.5527219267006767</v>
      </c>
      <c r="AU20" s="43">
        <f t="shared" si="3"/>
        <v>3.56024946458291</v>
      </c>
      <c r="AV20" s="45">
        <f t="shared" si="37"/>
        <v>1387.114575138216</v>
      </c>
      <c r="AW20" s="45">
        <f t="shared" si="38"/>
        <v>1387.4111471309511</v>
      </c>
      <c r="AX20" s="45">
        <f t="shared" si="39"/>
        <v>1371.585273412507</v>
      </c>
      <c r="AY20" s="42">
        <f t="shared" si="40"/>
        <v>1377.724427804775</v>
      </c>
      <c r="AZ20" s="45">
        <f t="shared" si="41"/>
        <v>1278.0612940881138</v>
      </c>
      <c r="BC20" s="19" t="s">
        <v>152</v>
      </c>
      <c r="BE20" s="19">
        <f t="shared" si="42"/>
        <v>0.788948069241012</v>
      </c>
      <c r="BF20" s="19">
        <f t="shared" si="43"/>
        <v>0.014893617021276595</v>
      </c>
      <c r="BG20" s="19">
        <f t="shared" si="44"/>
        <v>0.3099254609650844</v>
      </c>
      <c r="BH20" s="19">
        <f t="shared" si="45"/>
        <v>0.10327070285316632</v>
      </c>
      <c r="BI20" s="19">
        <f t="shared" si="46"/>
        <v>0.003806033267550043</v>
      </c>
      <c r="BJ20" s="19">
        <f t="shared" si="47"/>
        <v>0.30521091811414397</v>
      </c>
      <c r="BK20" s="19">
        <f t="shared" si="48"/>
        <v>0.1890156918687589</v>
      </c>
      <c r="BL20" s="19">
        <f t="shared" si="49"/>
        <v>0.08777024846724751</v>
      </c>
      <c r="BM20" s="19">
        <f t="shared" si="50"/>
        <v>0.0029723991507431</v>
      </c>
      <c r="BN20" s="19">
        <f t="shared" si="51"/>
        <v>1.8058131409489828</v>
      </c>
      <c r="BO20" s="19">
        <f t="shared" si="4"/>
        <v>0.4368935253325311</v>
      </c>
      <c r="BP20" s="19">
        <f t="shared" si="5"/>
        <v>0.008247595879964506</v>
      </c>
      <c r="BQ20" s="19">
        <f t="shared" si="6"/>
        <v>0.17162653983247333</v>
      </c>
      <c r="BR20" s="19">
        <f t="shared" si="7"/>
        <v>0.0571879229978889</v>
      </c>
      <c r="BS20" s="19">
        <f t="shared" si="8"/>
        <v>0.0021076562027618835</v>
      </c>
      <c r="BT20" s="19">
        <f t="shared" si="9"/>
        <v>0.16901578086520674</v>
      </c>
      <c r="BU20" s="19">
        <f t="shared" si="10"/>
        <v>0.10467068135822083</v>
      </c>
      <c r="BV20" s="19">
        <f t="shared" si="11"/>
        <v>0.048604280518815414</v>
      </c>
      <c r="BW20" s="19">
        <f t="shared" si="12"/>
        <v>0.0016460170121372901</v>
      </c>
      <c r="BX20" s="19">
        <f t="shared" si="52"/>
        <v>1</v>
      </c>
      <c r="BY20" s="19">
        <f t="shared" si="53"/>
        <v>0.6741011984021306</v>
      </c>
      <c r="BZ20" s="19">
        <f t="shared" si="54"/>
        <v>0</v>
      </c>
      <c r="CA20" s="19">
        <f t="shared" si="55"/>
        <v>0.0019615535504119265</v>
      </c>
      <c r="CB20" s="19">
        <f t="shared" si="56"/>
        <v>0.13096729297146834</v>
      </c>
      <c r="CC20" s="19">
        <f t="shared" si="57"/>
        <v>0.0014096419509444602</v>
      </c>
      <c r="CD20" s="19">
        <f t="shared" si="58"/>
        <v>1.2233250620347396</v>
      </c>
      <c r="CE20" s="19">
        <f t="shared" si="59"/>
        <v>0.005527817403708987</v>
      </c>
      <c r="CF20" s="19">
        <f t="shared" si="60"/>
        <v>0</v>
      </c>
      <c r="CG20" s="19">
        <f t="shared" si="61"/>
        <v>0</v>
      </c>
      <c r="CH20" s="19">
        <f t="shared" si="62"/>
        <v>2.037292566313404</v>
      </c>
      <c r="CI20" s="19">
        <f t="shared" si="13"/>
        <v>0.3308809002439717</v>
      </c>
      <c r="CJ20" s="19">
        <f t="shared" si="14"/>
        <v>0</v>
      </c>
      <c r="CK20" s="19">
        <f t="shared" si="15"/>
        <v>0.0009628236920146764</v>
      </c>
      <c r="CL20" s="19">
        <f t="shared" si="16"/>
        <v>0.06428497071898763</v>
      </c>
      <c r="CM20" s="19">
        <f t="shared" si="17"/>
        <v>0.0006919192531563039</v>
      </c>
      <c r="CN20" s="19">
        <f t="shared" si="18"/>
        <v>0.6004660706382566</v>
      </c>
      <c r="CO20" s="19">
        <f t="shared" si="19"/>
        <v>0.002713315453612971</v>
      </c>
      <c r="CP20" s="19">
        <f t="shared" si="20"/>
        <v>0</v>
      </c>
      <c r="CQ20" s="19">
        <f t="shared" si="21"/>
        <v>0</v>
      </c>
      <c r="CR20" s="19">
        <f t="shared" si="63"/>
        <v>0.33298204142407833</v>
      </c>
      <c r="CS20" s="19">
        <f t="shared" si="64"/>
        <v>0.4368935253325311</v>
      </c>
      <c r="CT20" s="19">
        <f t="shared" si="65"/>
        <v>-0.7169917243226167</v>
      </c>
      <c r="CW20" s="19">
        <f t="shared" si="66"/>
        <v>14393.773333012605</v>
      </c>
      <c r="CX20" s="19">
        <f t="shared" si="22"/>
        <v>8.669566012883418</v>
      </c>
      <c r="CY20" s="19">
        <f t="shared" si="67"/>
        <v>1660.2645751382158</v>
      </c>
      <c r="DA20" s="19">
        <f t="shared" si="68"/>
        <v>13602.905801982104</v>
      </c>
      <c r="DB20" s="19">
        <f t="shared" si="23"/>
        <v>8.669566012883418</v>
      </c>
      <c r="DC20" s="19">
        <f t="shared" si="69"/>
        <v>1569.041147130951</v>
      </c>
      <c r="DE20" s="19">
        <v>1360</v>
      </c>
      <c r="DF20" s="19">
        <f t="shared" si="70"/>
        <v>1.6</v>
      </c>
      <c r="DG20" s="19">
        <f t="shared" si="71"/>
        <v>1</v>
      </c>
      <c r="DH20" s="19">
        <f t="shared" si="72"/>
        <v>-0.7169917243226167</v>
      </c>
      <c r="DI20" s="19">
        <f t="shared" si="73"/>
        <v>0.33298204142407833</v>
      </c>
      <c r="DJ20" s="19">
        <f t="shared" si="74"/>
        <v>0.4368935253325311</v>
      </c>
      <c r="DK20" s="19">
        <f t="shared" si="75"/>
        <v>3.56024946458291</v>
      </c>
      <c r="DL20" s="19">
        <f t="shared" si="76"/>
        <v>14393.879999999996</v>
      </c>
      <c r="DM20" s="19">
        <f t="shared" si="77"/>
        <v>8.669342785711283</v>
      </c>
      <c r="DN20" s="19">
        <f t="shared" si="78"/>
        <v>1387.1696292715328</v>
      </c>
      <c r="DO20" s="19">
        <f t="shared" si="79"/>
        <v>1295.9481157672521</v>
      </c>
      <c r="DP20" s="19">
        <f t="shared" si="24"/>
        <v>1377.2281157672523</v>
      </c>
      <c r="DQ20" s="25">
        <f t="shared" si="80"/>
        <v>3.5527219267006767</v>
      </c>
      <c r="DR20" s="19">
        <f t="shared" si="25"/>
        <v>3.2794250496081254</v>
      </c>
      <c r="DS20" s="19">
        <f t="shared" si="81"/>
        <v>4518.144</v>
      </c>
      <c r="DT20" s="19">
        <f t="shared" si="82"/>
        <v>1377.724427804775</v>
      </c>
      <c r="DV20" s="19">
        <f t="shared" si="83"/>
        <v>5.374937418936323</v>
      </c>
      <c r="DW20" s="19">
        <f t="shared" si="84"/>
        <v>1278.0612940881138</v>
      </c>
      <c r="DX20" s="19">
        <f t="shared" si="85"/>
        <v>1360</v>
      </c>
      <c r="DZ20" s="19">
        <f t="shared" si="86"/>
        <v>0.788948069241012</v>
      </c>
      <c r="EA20" s="19">
        <f t="shared" si="87"/>
        <v>0.014893617021276595</v>
      </c>
      <c r="EB20" s="19">
        <f t="shared" si="88"/>
        <v>0.1549627304825422</v>
      </c>
      <c r="EC20" s="19">
        <f t="shared" si="89"/>
        <v>0.10327070285316632</v>
      </c>
      <c r="ED20" s="19">
        <f t="shared" si="90"/>
        <v>0.003806033267550043</v>
      </c>
      <c r="EE20" s="19">
        <f t="shared" si="91"/>
        <v>0.30521091811414397</v>
      </c>
      <c r="EF20" s="19">
        <f t="shared" si="92"/>
        <v>0.1890156918687589</v>
      </c>
      <c r="EG20" s="19">
        <f t="shared" si="93"/>
        <v>0.04388512423362376</v>
      </c>
      <c r="EH20" s="19">
        <f t="shared" si="94"/>
        <v>0.00148619957537155</v>
      </c>
      <c r="EI20" s="19">
        <f t="shared" si="26"/>
        <v>1.6054790866574455</v>
      </c>
      <c r="EJ20" s="19">
        <f t="shared" si="95"/>
        <v>0.4914097454134864</v>
      </c>
      <c r="EK20" s="19">
        <f t="shared" si="27"/>
        <v>0.009276743088746557</v>
      </c>
      <c r="EL20" s="19">
        <f t="shared" si="27"/>
        <v>0.09652117661972756</v>
      </c>
      <c r="EM20" s="19">
        <f t="shared" si="27"/>
        <v>0.06432391658752311</v>
      </c>
      <c r="EN20" s="19">
        <f t="shared" si="27"/>
        <v>0.0023706526601190918</v>
      </c>
      <c r="EO20" s="19">
        <f t="shared" si="27"/>
        <v>0.1901058199079896</v>
      </c>
      <c r="EP20" s="19">
        <f t="shared" si="27"/>
        <v>0.11773164374397635</v>
      </c>
      <c r="EQ20" s="19">
        <f t="shared" si="27"/>
        <v>0.027334597254076436</v>
      </c>
      <c r="ER20" s="19">
        <f t="shared" si="27"/>
        <v>0.0009257047243547522</v>
      </c>
      <c r="ES20" s="19">
        <f t="shared" si="28"/>
        <v>0.9999999999999998</v>
      </c>
    </row>
    <row r="21" spans="1:149" ht="15.75">
      <c r="A21" s="19" t="s">
        <v>143</v>
      </c>
      <c r="B21" s="19" t="s">
        <v>153</v>
      </c>
      <c r="C21" s="48">
        <v>1.6</v>
      </c>
      <c r="D21" s="20">
        <v>1345</v>
      </c>
      <c r="F21" s="40">
        <v>5211</v>
      </c>
      <c r="G21" s="41">
        <v>47.5</v>
      </c>
      <c r="H21" s="41">
        <v>1.22</v>
      </c>
      <c r="I21" s="41">
        <v>16</v>
      </c>
      <c r="J21" s="41">
        <v>8.46</v>
      </c>
      <c r="K21" s="41">
        <v>0.19</v>
      </c>
      <c r="L21" s="41">
        <v>11.7</v>
      </c>
      <c r="M21" s="41">
        <v>10.7</v>
      </c>
      <c r="N21" s="41">
        <v>3.03</v>
      </c>
      <c r="O21" s="41">
        <v>0.15</v>
      </c>
      <c r="P21" s="41">
        <v>0.03</v>
      </c>
      <c r="Q21" s="41">
        <v>0.13</v>
      </c>
      <c r="R21" s="41">
        <v>0</v>
      </c>
      <c r="S21" s="19">
        <f t="shared" si="29"/>
        <v>99.11000000000001</v>
      </c>
      <c r="U21" s="42">
        <f t="shared" si="30"/>
        <v>1302.11</v>
      </c>
      <c r="V21" s="42">
        <f t="shared" si="31"/>
        <v>1316.5633241212</v>
      </c>
      <c r="W21" s="42">
        <f t="shared" si="32"/>
        <v>1340.6516019526684</v>
      </c>
      <c r="X21" s="42">
        <f t="shared" si="0"/>
        <v>1357.2736377895576</v>
      </c>
      <c r="Y21" s="42">
        <f t="shared" si="33"/>
        <v>1249.17</v>
      </c>
      <c r="Z21" s="42">
        <f t="shared" si="34"/>
        <v>1145.62</v>
      </c>
      <c r="AB21" s="41">
        <v>40.5</v>
      </c>
      <c r="AC21" s="41">
        <v>0.02</v>
      </c>
      <c r="AD21" s="41">
        <v>0.1</v>
      </c>
      <c r="AE21" s="41">
        <v>10.6</v>
      </c>
      <c r="AF21" s="41">
        <v>0.15</v>
      </c>
      <c r="AG21" s="41">
        <v>48.5</v>
      </c>
      <c r="AH21" s="41">
        <v>0.34</v>
      </c>
      <c r="AI21" s="41">
        <v>0</v>
      </c>
      <c r="AJ21" s="41">
        <v>0</v>
      </c>
      <c r="AK21" s="41">
        <v>0.02</v>
      </c>
      <c r="AL21" s="41">
        <v>0</v>
      </c>
      <c r="AM21" s="41">
        <v>0</v>
      </c>
      <c r="AO21" s="43">
        <f t="shared" si="35"/>
        <v>71.14565798593921</v>
      </c>
      <c r="AP21" s="43">
        <f t="shared" si="36"/>
        <v>89.08000066463781</v>
      </c>
      <c r="AQ21" s="47"/>
      <c r="AR21" s="44">
        <f t="shared" si="1"/>
        <v>0.302259267383198</v>
      </c>
      <c r="AS21"/>
      <c r="AT21" s="43">
        <f t="shared" si="2"/>
        <v>3.7109926766266854</v>
      </c>
      <c r="AU21" s="43">
        <f t="shared" si="3"/>
        <v>3.710844644195069</v>
      </c>
      <c r="AV21" s="45">
        <f t="shared" si="37"/>
        <v>1376.617629895135</v>
      </c>
      <c r="AW21" s="45">
        <f t="shared" si="38"/>
        <v>1377.490957751374</v>
      </c>
      <c r="AX21" s="45">
        <f t="shared" si="39"/>
        <v>1361.6654836871435</v>
      </c>
      <c r="AY21" s="42">
        <f t="shared" si="40"/>
        <v>1366.3842174697156</v>
      </c>
      <c r="AZ21" s="45">
        <f t="shared" si="41"/>
        <v>1266.8703339085505</v>
      </c>
      <c r="BC21" s="19" t="s">
        <v>147</v>
      </c>
      <c r="BE21" s="19">
        <f t="shared" si="42"/>
        <v>0.7906125166444741</v>
      </c>
      <c r="BF21" s="19">
        <f t="shared" si="43"/>
        <v>0.015269086357947433</v>
      </c>
      <c r="BG21" s="19">
        <f t="shared" si="44"/>
        <v>0.3138485680659082</v>
      </c>
      <c r="BH21" s="19">
        <f t="shared" si="45"/>
        <v>0.11774530271398749</v>
      </c>
      <c r="BI21" s="19">
        <f t="shared" si="46"/>
        <v>0.0026783197067944743</v>
      </c>
      <c r="BJ21" s="19">
        <f t="shared" si="47"/>
        <v>0.2903225806451613</v>
      </c>
      <c r="BK21" s="19">
        <f t="shared" si="48"/>
        <v>0.19079885877318117</v>
      </c>
      <c r="BL21" s="19">
        <f t="shared" si="49"/>
        <v>0.09777347531461762</v>
      </c>
      <c r="BM21" s="19">
        <f t="shared" si="50"/>
        <v>0.003184713375796178</v>
      </c>
      <c r="BN21" s="19">
        <f t="shared" si="51"/>
        <v>1.8222334215978682</v>
      </c>
      <c r="BO21" s="19">
        <f t="shared" si="4"/>
        <v>0.43387005598394024</v>
      </c>
      <c r="BP21" s="19">
        <f t="shared" si="5"/>
        <v>0.008379325160526568</v>
      </c>
      <c r="BQ21" s="19">
        <f t="shared" si="6"/>
        <v>0.17223291173679756</v>
      </c>
      <c r="BR21" s="19">
        <f t="shared" si="7"/>
        <v>0.06461592753070007</v>
      </c>
      <c r="BS21" s="19">
        <f t="shared" si="8"/>
        <v>0.0014698005617995562</v>
      </c>
      <c r="BT21" s="19">
        <f t="shared" si="9"/>
        <v>0.15932238823201098</v>
      </c>
      <c r="BU21" s="19">
        <f t="shared" si="10"/>
        <v>0.10470604726691639</v>
      </c>
      <c r="BV21" s="19">
        <f t="shared" si="11"/>
        <v>0.053655845708769107</v>
      </c>
      <c r="BW21" s="19">
        <f t="shared" si="12"/>
        <v>0.0017476978185393985</v>
      </c>
      <c r="BX21" s="19">
        <f t="shared" si="52"/>
        <v>0.9999999999999999</v>
      </c>
      <c r="BY21" s="19">
        <f t="shared" si="53"/>
        <v>0.6741011984021306</v>
      </c>
      <c r="BZ21" s="19">
        <f t="shared" si="54"/>
        <v>0.00025031289111389235</v>
      </c>
      <c r="CA21" s="19">
        <f t="shared" si="55"/>
        <v>0.0019615535504119265</v>
      </c>
      <c r="CB21" s="19">
        <f t="shared" si="56"/>
        <v>0.1475295755045233</v>
      </c>
      <c r="CC21" s="19">
        <f t="shared" si="57"/>
        <v>0.00211446292641669</v>
      </c>
      <c r="CD21" s="19">
        <f t="shared" si="58"/>
        <v>1.2034739454094294</v>
      </c>
      <c r="CE21" s="19">
        <f t="shared" si="59"/>
        <v>0.006062767475035664</v>
      </c>
      <c r="CF21" s="19">
        <f t="shared" si="60"/>
        <v>0</v>
      </c>
      <c r="CG21" s="19">
        <f t="shared" si="61"/>
        <v>0</v>
      </c>
      <c r="CH21" s="19">
        <f t="shared" si="62"/>
        <v>2.0354938161590614</v>
      </c>
      <c r="CI21" s="19">
        <f t="shared" si="13"/>
        <v>0.33117329713835575</v>
      </c>
      <c r="CJ21" s="19">
        <f t="shared" si="14"/>
        <v>0.00012297403663265755</v>
      </c>
      <c r="CK21" s="19">
        <f t="shared" si="15"/>
        <v>0.0009636745318702766</v>
      </c>
      <c r="CL21" s="19">
        <f t="shared" si="16"/>
        <v>0.07247851815286221</v>
      </c>
      <c r="CM21" s="19">
        <f t="shared" si="17"/>
        <v>0.0010387960452793916</v>
      </c>
      <c r="CN21" s="19">
        <f t="shared" si="18"/>
        <v>0.5912442159516663</v>
      </c>
      <c r="CO21" s="19">
        <f t="shared" si="19"/>
        <v>0.0029785241433334304</v>
      </c>
      <c r="CP21" s="19">
        <f t="shared" si="20"/>
        <v>0</v>
      </c>
      <c r="CQ21" s="19">
        <f t="shared" si="21"/>
        <v>0</v>
      </c>
      <c r="CR21" s="19">
        <f t="shared" si="63"/>
        <v>0.33011416359142703</v>
      </c>
      <c r="CS21" s="19">
        <f t="shared" si="64"/>
        <v>0.43387005598394024</v>
      </c>
      <c r="CT21" s="19">
        <f t="shared" si="65"/>
        <v>-0.7204845082889706</v>
      </c>
      <c r="CW21" s="19">
        <f t="shared" si="66"/>
        <v>14393.773333012605</v>
      </c>
      <c r="CX21" s="19">
        <f t="shared" si="22"/>
        <v>8.724727696304432</v>
      </c>
      <c r="CY21" s="19">
        <f t="shared" si="67"/>
        <v>1649.767629895135</v>
      </c>
      <c r="DA21" s="19">
        <f t="shared" si="68"/>
        <v>13602.905801982104</v>
      </c>
      <c r="DB21" s="19">
        <f t="shared" si="23"/>
        <v>8.724727696304432</v>
      </c>
      <c r="DC21" s="19">
        <f t="shared" si="69"/>
        <v>1559.120957751374</v>
      </c>
      <c r="DE21" s="19">
        <v>1345</v>
      </c>
      <c r="DF21" s="19">
        <f t="shared" si="70"/>
        <v>1.6</v>
      </c>
      <c r="DG21" s="19">
        <f t="shared" si="71"/>
        <v>1</v>
      </c>
      <c r="DH21" s="19">
        <f t="shared" si="72"/>
        <v>-0.7204845082889706</v>
      </c>
      <c r="DI21" s="19">
        <f t="shared" si="73"/>
        <v>0.330114163591427</v>
      </c>
      <c r="DJ21" s="19">
        <f t="shared" si="74"/>
        <v>0.43387005598394024</v>
      </c>
      <c r="DK21" s="19">
        <f t="shared" si="75"/>
        <v>3.710844644195069</v>
      </c>
      <c r="DL21" s="19">
        <f t="shared" si="76"/>
        <v>14393.879999999996</v>
      </c>
      <c r="DM21" s="19">
        <f t="shared" si="77"/>
        <v>8.724504469132297</v>
      </c>
      <c r="DN21" s="19">
        <f t="shared" si="78"/>
        <v>1376.6720673651107</v>
      </c>
      <c r="DO21" s="19">
        <f t="shared" si="79"/>
        <v>1286.0273123766765</v>
      </c>
      <c r="DP21" s="19">
        <f t="shared" si="24"/>
        <v>1367.3073123766767</v>
      </c>
      <c r="DQ21" s="25">
        <f t="shared" si="80"/>
        <v>3.7109926766266854</v>
      </c>
      <c r="DR21" s="19">
        <f t="shared" si="25"/>
        <v>3.3066424086533623</v>
      </c>
      <c r="DS21" s="19">
        <f t="shared" si="81"/>
        <v>4518.144</v>
      </c>
      <c r="DT21" s="19">
        <f t="shared" si="82"/>
        <v>1366.3842174697156</v>
      </c>
      <c r="DV21" s="19">
        <f t="shared" si="83"/>
        <v>5.63391458438344</v>
      </c>
      <c r="DW21" s="19">
        <f t="shared" si="84"/>
        <v>1266.8703339085505</v>
      </c>
      <c r="DX21" s="19">
        <f t="shared" si="85"/>
        <v>1345</v>
      </c>
      <c r="DZ21" s="19">
        <f t="shared" si="86"/>
        <v>0.7906125166444741</v>
      </c>
      <c r="EA21" s="19">
        <f t="shared" si="87"/>
        <v>0.015269086357947433</v>
      </c>
      <c r="EB21" s="19">
        <f t="shared" si="88"/>
        <v>0.1569242840329541</v>
      </c>
      <c r="EC21" s="19">
        <f t="shared" si="89"/>
        <v>0.11774530271398749</v>
      </c>
      <c r="ED21" s="19">
        <f t="shared" si="90"/>
        <v>0.0026783197067944743</v>
      </c>
      <c r="EE21" s="19">
        <f t="shared" si="91"/>
        <v>0.2903225806451613</v>
      </c>
      <c r="EF21" s="19">
        <f t="shared" si="92"/>
        <v>0.19079885877318117</v>
      </c>
      <c r="EG21" s="19">
        <f t="shared" si="93"/>
        <v>0.04888673765730881</v>
      </c>
      <c r="EH21" s="19">
        <f t="shared" si="94"/>
        <v>0.001592356687898089</v>
      </c>
      <c r="EI21" s="19">
        <f t="shared" si="26"/>
        <v>1.6148300432197071</v>
      </c>
      <c r="EJ21" s="19">
        <f t="shared" si="95"/>
        <v>0.4895948771600273</v>
      </c>
      <c r="EK21" s="19">
        <f t="shared" si="27"/>
        <v>0.009455537703214495</v>
      </c>
      <c r="EL21" s="19">
        <f t="shared" si="27"/>
        <v>0.09717696589300057</v>
      </c>
      <c r="EM21" s="19">
        <f t="shared" si="27"/>
        <v>0.0729149814919362</v>
      </c>
      <c r="EN21" s="19">
        <f t="shared" si="27"/>
        <v>0.0016585768378784573</v>
      </c>
      <c r="EO21" s="19">
        <f t="shared" si="27"/>
        <v>0.1797852237541392</v>
      </c>
      <c r="EP21" s="19">
        <f t="shared" si="27"/>
        <v>0.1181541423348549</v>
      </c>
      <c r="EQ21" s="19">
        <f t="shared" si="27"/>
        <v>0.03027361167980046</v>
      </c>
      <c r="ER21" s="19">
        <f t="shared" si="27"/>
        <v>0.0009860831451483218</v>
      </c>
      <c r="ES21" s="19">
        <f t="shared" si="28"/>
        <v>1</v>
      </c>
    </row>
    <row r="22" spans="1:149" ht="15.75">
      <c r="A22" s="19" t="s">
        <v>143</v>
      </c>
      <c r="B22" s="19" t="s">
        <v>154</v>
      </c>
      <c r="C22" s="48">
        <v>1.6</v>
      </c>
      <c r="D22" s="20">
        <v>1320</v>
      </c>
      <c r="F22" s="40">
        <v>5210</v>
      </c>
      <c r="G22" s="41">
        <v>47.4</v>
      </c>
      <c r="H22" s="41">
        <v>1.64</v>
      </c>
      <c r="I22" s="41">
        <v>18.6</v>
      </c>
      <c r="J22" s="41">
        <v>11.6</v>
      </c>
      <c r="K22" s="41">
        <v>0.13</v>
      </c>
      <c r="L22" s="41">
        <v>7.07</v>
      </c>
      <c r="M22" s="41">
        <v>8.36</v>
      </c>
      <c r="N22" s="41">
        <v>5.12</v>
      </c>
      <c r="O22" s="41">
        <v>0.27</v>
      </c>
      <c r="P22" s="41">
        <v>0</v>
      </c>
      <c r="Q22" s="41">
        <v>0.34</v>
      </c>
      <c r="R22" s="41">
        <v>0</v>
      </c>
      <c r="S22" s="19">
        <f t="shared" si="29"/>
        <v>100.53</v>
      </c>
      <c r="U22" s="42">
        <f t="shared" si="30"/>
        <v>1180.341</v>
      </c>
      <c r="V22" s="42">
        <f t="shared" si="31"/>
        <v>1225.0184017902845</v>
      </c>
      <c r="W22" s="42">
        <f t="shared" si="32"/>
        <v>1260.5814051905588</v>
      </c>
      <c r="X22" s="42">
        <f t="shared" si="0"/>
        <v>1266.5586692554134</v>
      </c>
      <c r="Y22" s="42">
        <f t="shared" si="33"/>
        <v>1156.107</v>
      </c>
      <c r="Z22" s="42">
        <f t="shared" si="34"/>
        <v>1106.776</v>
      </c>
      <c r="AB22" s="41">
        <v>40.2</v>
      </c>
      <c r="AC22" s="41">
        <v>0.04</v>
      </c>
      <c r="AD22" s="41">
        <v>0.22</v>
      </c>
      <c r="AE22" s="41">
        <v>15.3</v>
      </c>
      <c r="AF22" s="41">
        <v>0.15</v>
      </c>
      <c r="AG22" s="41">
        <v>44.6</v>
      </c>
      <c r="AH22" s="41">
        <v>0.41</v>
      </c>
      <c r="AI22" s="41">
        <v>0</v>
      </c>
      <c r="AJ22" s="41">
        <v>0</v>
      </c>
      <c r="AK22" s="41">
        <v>0.02</v>
      </c>
      <c r="AL22" s="41">
        <v>0</v>
      </c>
      <c r="AM22" s="41">
        <v>0</v>
      </c>
      <c r="AO22" s="43">
        <f t="shared" si="35"/>
        <v>52.07591909248923</v>
      </c>
      <c r="AP22" s="43">
        <f t="shared" si="36"/>
        <v>83.86354714610975</v>
      </c>
      <c r="AQ22" s="47"/>
      <c r="AR22" s="44">
        <f t="shared" si="1"/>
        <v>0.20908265037884644</v>
      </c>
      <c r="AS22"/>
      <c r="AT22" s="43">
        <f t="shared" si="2"/>
        <v>5.773138565921584</v>
      </c>
      <c r="AU22" s="43">
        <f t="shared" si="3"/>
        <v>5.426610300945233</v>
      </c>
      <c r="AV22" s="45">
        <f t="shared" si="37"/>
        <v>1296.0250214455496</v>
      </c>
      <c r="AW22" s="45">
        <f t="shared" si="38"/>
        <v>1301.3265194410005</v>
      </c>
      <c r="AX22" s="45">
        <f t="shared" si="39"/>
        <v>1265.5790251377286</v>
      </c>
      <c r="AY22" s="42">
        <f t="shared" si="40"/>
        <v>1242.7788207229573</v>
      </c>
      <c r="AZ22" s="45">
        <f t="shared" si="41"/>
        <v>1168.323777644809</v>
      </c>
      <c r="BC22" s="19" t="s">
        <v>149</v>
      </c>
      <c r="BE22" s="19">
        <f t="shared" si="42"/>
        <v>0.788948069241012</v>
      </c>
      <c r="BF22" s="19">
        <f t="shared" si="43"/>
        <v>0.02052565707133917</v>
      </c>
      <c r="BG22" s="19">
        <f t="shared" si="44"/>
        <v>0.36484896037661835</v>
      </c>
      <c r="BH22" s="19">
        <f t="shared" si="45"/>
        <v>0.16144745998608212</v>
      </c>
      <c r="BI22" s="19">
        <f t="shared" si="46"/>
        <v>0.0018325345362277983</v>
      </c>
      <c r="BJ22" s="19">
        <f t="shared" si="47"/>
        <v>0.17543424317617867</v>
      </c>
      <c r="BK22" s="19">
        <f t="shared" si="48"/>
        <v>0.14907275320970043</v>
      </c>
      <c r="BL22" s="19">
        <f t="shared" si="49"/>
        <v>0.16521458535011296</v>
      </c>
      <c r="BM22" s="19">
        <f t="shared" si="50"/>
        <v>0.0057324840764331215</v>
      </c>
      <c r="BN22" s="19">
        <f t="shared" si="51"/>
        <v>1.833056747023705</v>
      </c>
      <c r="BO22" s="19">
        <f t="shared" si="4"/>
        <v>0.43040024293956536</v>
      </c>
      <c r="BP22" s="19">
        <f t="shared" si="5"/>
        <v>0.011197502262091034</v>
      </c>
      <c r="BQ22" s="19">
        <f t="shared" si="6"/>
        <v>0.19903855184462554</v>
      </c>
      <c r="BR22" s="19">
        <f t="shared" si="7"/>
        <v>0.08807553844048795</v>
      </c>
      <c r="BS22" s="19">
        <f t="shared" si="8"/>
        <v>0.0009997151147684029</v>
      </c>
      <c r="BT22" s="19">
        <f t="shared" si="9"/>
        <v>0.09570584405585233</v>
      </c>
      <c r="BU22" s="19">
        <f t="shared" si="10"/>
        <v>0.08132467991061743</v>
      </c>
      <c r="BV22" s="19">
        <f t="shared" si="11"/>
        <v>0.0901306441376506</v>
      </c>
      <c r="BW22" s="19">
        <f t="shared" si="12"/>
        <v>0.003127281294341178</v>
      </c>
      <c r="BX22" s="19">
        <f t="shared" si="52"/>
        <v>0.9999999999999999</v>
      </c>
      <c r="BY22" s="19">
        <f t="shared" si="53"/>
        <v>0.6691078561917444</v>
      </c>
      <c r="BZ22" s="19">
        <f t="shared" si="54"/>
        <v>0.0005006257822277847</v>
      </c>
      <c r="CA22" s="19">
        <f t="shared" si="55"/>
        <v>0.004315417810906238</v>
      </c>
      <c r="CB22" s="19">
        <f t="shared" si="56"/>
        <v>0.2129436325678497</v>
      </c>
      <c r="CC22" s="19">
        <f t="shared" si="57"/>
        <v>0.00211446292641669</v>
      </c>
      <c r="CD22" s="19">
        <f t="shared" si="58"/>
        <v>1.1066997518610422</v>
      </c>
      <c r="CE22" s="19">
        <f t="shared" si="59"/>
        <v>0.0073109843081312405</v>
      </c>
      <c r="CF22" s="19">
        <f t="shared" si="60"/>
        <v>0</v>
      </c>
      <c r="CG22" s="19">
        <f t="shared" si="61"/>
        <v>0</v>
      </c>
      <c r="CH22" s="19">
        <f t="shared" si="62"/>
        <v>2.0029927314483182</v>
      </c>
      <c r="CI22" s="19">
        <f t="shared" si="13"/>
        <v>0.33405406104890245</v>
      </c>
      <c r="CJ22" s="19">
        <f t="shared" si="14"/>
        <v>0.0002499388911240799</v>
      </c>
      <c r="CK22" s="19">
        <f t="shared" si="15"/>
        <v>0.0021544850079340317</v>
      </c>
      <c r="CL22" s="19">
        <f t="shared" si="16"/>
        <v>0.10631273355339389</v>
      </c>
      <c r="CM22" s="19">
        <f t="shared" si="17"/>
        <v>0.0010556518220052502</v>
      </c>
      <c r="CN22" s="19">
        <f t="shared" si="18"/>
        <v>0.5525230993029181</v>
      </c>
      <c r="CO22" s="19">
        <f t="shared" si="19"/>
        <v>0.0036500303737222427</v>
      </c>
      <c r="CP22" s="19">
        <f t="shared" si="20"/>
        <v>0</v>
      </c>
      <c r="CQ22" s="19">
        <f t="shared" si="21"/>
        <v>0</v>
      </c>
      <c r="CR22" s="19">
        <f t="shared" si="63"/>
        <v>0.26610577752172615</v>
      </c>
      <c r="CS22" s="19">
        <f t="shared" si="64"/>
        <v>0.43040024293956536</v>
      </c>
      <c r="CT22" s="19">
        <f t="shared" si="65"/>
        <v>-0.8556232832724451</v>
      </c>
      <c r="CW22" s="19">
        <f t="shared" si="66"/>
        <v>14393.773333012605</v>
      </c>
      <c r="CX22" s="19">
        <f t="shared" si="22"/>
        <v>9.172828483946185</v>
      </c>
      <c r="CY22" s="19">
        <f t="shared" si="67"/>
        <v>1569.1750214455496</v>
      </c>
      <c r="DA22" s="19">
        <f t="shared" si="68"/>
        <v>13602.905801982104</v>
      </c>
      <c r="DB22" s="19">
        <f t="shared" si="23"/>
        <v>9.172828483946185</v>
      </c>
      <c r="DC22" s="19">
        <f t="shared" si="69"/>
        <v>1482.9565194410004</v>
      </c>
      <c r="DE22" s="19">
        <v>1320</v>
      </c>
      <c r="DF22" s="19">
        <f t="shared" si="70"/>
        <v>1.6</v>
      </c>
      <c r="DG22" s="19">
        <f t="shared" si="71"/>
        <v>1</v>
      </c>
      <c r="DH22" s="19">
        <f t="shared" si="72"/>
        <v>-0.8556232832724451</v>
      </c>
      <c r="DI22" s="19">
        <f t="shared" si="73"/>
        <v>0.26610577752172615</v>
      </c>
      <c r="DJ22" s="19">
        <f t="shared" si="74"/>
        <v>0.43040024293956536</v>
      </c>
      <c r="DK22" s="19">
        <f t="shared" si="75"/>
        <v>5.426610300945233</v>
      </c>
      <c r="DL22" s="19">
        <f t="shared" si="76"/>
        <v>14393.879999999996</v>
      </c>
      <c r="DM22" s="19">
        <f t="shared" si="77"/>
        <v>9.17260525677405</v>
      </c>
      <c r="DN22" s="19">
        <f t="shared" si="78"/>
        <v>1296.0748382072247</v>
      </c>
      <c r="DO22" s="19">
        <f t="shared" si="79"/>
        <v>1209.8582674662166</v>
      </c>
      <c r="DP22" s="19">
        <f t="shared" si="24"/>
        <v>1291.1382674662168</v>
      </c>
      <c r="DQ22" s="25">
        <f t="shared" si="80"/>
        <v>5.773138565921584</v>
      </c>
      <c r="DR22" s="19">
        <f t="shared" si="25"/>
        <v>3.635517378202242</v>
      </c>
      <c r="DS22" s="19">
        <f t="shared" si="81"/>
        <v>4518.144</v>
      </c>
      <c r="DT22" s="19">
        <f t="shared" si="82"/>
        <v>1242.7788207229573</v>
      </c>
      <c r="DV22" s="19">
        <f t="shared" si="83"/>
        <v>8.799859285254023</v>
      </c>
      <c r="DW22" s="19">
        <f t="shared" si="84"/>
        <v>1168.323777644809</v>
      </c>
      <c r="DX22" s="19">
        <f t="shared" si="85"/>
        <v>1320</v>
      </c>
      <c r="DZ22" s="19">
        <f t="shared" si="86"/>
        <v>0.788948069241012</v>
      </c>
      <c r="EA22" s="19">
        <f t="shared" si="87"/>
        <v>0.02052565707133917</v>
      </c>
      <c r="EB22" s="19">
        <f t="shared" si="88"/>
        <v>0.18242448018830917</v>
      </c>
      <c r="EC22" s="19">
        <f t="shared" si="89"/>
        <v>0.16144745998608212</v>
      </c>
      <c r="ED22" s="19">
        <f t="shared" si="90"/>
        <v>0.0018325345362277983</v>
      </c>
      <c r="EE22" s="19">
        <f t="shared" si="91"/>
        <v>0.17543424317617867</v>
      </c>
      <c r="EF22" s="19">
        <f t="shared" si="92"/>
        <v>0.14907275320970043</v>
      </c>
      <c r="EG22" s="19">
        <f t="shared" si="93"/>
        <v>0.08260729267505648</v>
      </c>
      <c r="EH22" s="19">
        <f t="shared" si="94"/>
        <v>0.0028662420382165607</v>
      </c>
      <c r="EI22" s="19">
        <f t="shared" si="26"/>
        <v>1.5651587321221225</v>
      </c>
      <c r="EJ22" s="19">
        <f t="shared" si="95"/>
        <v>0.5040690461927243</v>
      </c>
      <c r="EK22" s="19">
        <f t="shared" si="27"/>
        <v>0.013114105713424626</v>
      </c>
      <c r="EL22" s="19">
        <f t="shared" si="27"/>
        <v>0.11655334148822638</v>
      </c>
      <c r="EM22" s="19">
        <f t="shared" si="27"/>
        <v>0.10315085407802911</v>
      </c>
      <c r="EN22" s="19">
        <f t="shared" si="27"/>
        <v>0.0011708298325391916</v>
      </c>
      <c r="EO22" s="19">
        <f t="shared" si="27"/>
        <v>0.11208718935383373</v>
      </c>
      <c r="EP22" s="19">
        <f t="shared" si="27"/>
        <v>0.09524449511109966</v>
      </c>
      <c r="EQ22" s="19">
        <f t="shared" si="27"/>
        <v>0.05277885940875356</v>
      </c>
      <c r="ER22" s="19">
        <f t="shared" si="27"/>
        <v>0.001831278821369359</v>
      </c>
      <c r="ES22" s="19">
        <f t="shared" si="28"/>
        <v>1.0000000000000002</v>
      </c>
    </row>
    <row r="23" spans="1:149" ht="15.75">
      <c r="A23" s="19" t="s">
        <v>143</v>
      </c>
      <c r="B23" s="19" t="s">
        <v>155</v>
      </c>
      <c r="C23" s="48">
        <v>1.3</v>
      </c>
      <c r="D23" s="20">
        <v>1280</v>
      </c>
      <c r="F23" s="40">
        <v>5209</v>
      </c>
      <c r="G23" s="41">
        <v>47.8</v>
      </c>
      <c r="H23" s="41">
        <v>1.98</v>
      </c>
      <c r="I23" s="41">
        <v>18.5</v>
      </c>
      <c r="J23" s="41">
        <v>11.8</v>
      </c>
      <c r="K23" s="41">
        <v>0.14</v>
      </c>
      <c r="L23" s="41">
        <v>5.7</v>
      </c>
      <c r="M23" s="41">
        <v>7.38</v>
      </c>
      <c r="N23" s="41">
        <v>5.94</v>
      </c>
      <c r="O23" s="41">
        <v>0.37</v>
      </c>
      <c r="P23" s="41">
        <v>0.02</v>
      </c>
      <c r="Q23" s="41">
        <v>0.4</v>
      </c>
      <c r="R23" s="41">
        <v>0</v>
      </c>
      <c r="S23" s="19">
        <f t="shared" si="29"/>
        <v>100.03</v>
      </c>
      <c r="U23" s="42">
        <f t="shared" si="30"/>
        <v>1144.31</v>
      </c>
      <c r="V23" s="42">
        <f t="shared" si="31"/>
        <v>1194.5908022613648</v>
      </c>
      <c r="W23" s="42">
        <f t="shared" si="32"/>
        <v>1220.2029606841147</v>
      </c>
      <c r="X23" s="42">
        <f t="shared" si="0"/>
        <v>1209.1190013656606</v>
      </c>
      <c r="Y23" s="42">
        <f t="shared" si="33"/>
        <v>1128.57</v>
      </c>
      <c r="Z23" s="42">
        <f t="shared" si="34"/>
        <v>1090.508</v>
      </c>
      <c r="AB23" s="41">
        <v>39.6</v>
      </c>
      <c r="AC23" s="41">
        <v>0.04</v>
      </c>
      <c r="AD23" s="41">
        <v>0.06</v>
      </c>
      <c r="AE23" s="41">
        <v>18.7</v>
      </c>
      <c r="AF23" s="41">
        <v>0.19</v>
      </c>
      <c r="AG23" s="41">
        <v>42.3</v>
      </c>
      <c r="AH23" s="41">
        <v>0.33</v>
      </c>
      <c r="AI23" s="41">
        <v>0</v>
      </c>
      <c r="AJ23" s="41">
        <v>0</v>
      </c>
      <c r="AK23" s="41">
        <v>0</v>
      </c>
      <c r="AL23" s="41">
        <v>0</v>
      </c>
      <c r="AM23" s="41">
        <v>0</v>
      </c>
      <c r="AO23" s="43">
        <f t="shared" si="35"/>
        <v>46.27182699966669</v>
      </c>
      <c r="AP23" s="43">
        <f t="shared" si="36"/>
        <v>80.13085095303946</v>
      </c>
      <c r="AQ23" s="47"/>
      <c r="AR23" s="44">
        <f t="shared" si="1"/>
        <v>0.2135473013583363</v>
      </c>
      <c r="AS23"/>
      <c r="AT23" s="43">
        <f t="shared" si="2"/>
        <v>6.831615119025221</v>
      </c>
      <c r="AU23" s="43">
        <f t="shared" si="3"/>
        <v>6.328766420329475</v>
      </c>
      <c r="AV23" s="45">
        <f t="shared" si="37"/>
        <v>1253.8204539708108</v>
      </c>
      <c r="AW23" s="45">
        <f t="shared" si="38"/>
        <v>1258.5234088168124</v>
      </c>
      <c r="AX23" s="45">
        <f t="shared" si="39"/>
        <v>1220.5129678981114</v>
      </c>
      <c r="AY23" s="42">
        <f t="shared" si="40"/>
        <v>1198.2568846407673</v>
      </c>
      <c r="AZ23" s="45">
        <f t="shared" si="41"/>
        <v>1121.6019606859954</v>
      </c>
      <c r="BC23" s="19" t="s">
        <v>156</v>
      </c>
      <c r="BE23" s="19">
        <f t="shared" si="42"/>
        <v>0.7956058588548601</v>
      </c>
      <c r="BF23" s="19">
        <f t="shared" si="43"/>
        <v>0.024780976220275343</v>
      </c>
      <c r="BG23" s="19">
        <f t="shared" si="44"/>
        <v>0.3628874068262064</v>
      </c>
      <c r="BH23" s="19">
        <f t="shared" si="45"/>
        <v>0.1642310368823939</v>
      </c>
      <c r="BI23" s="19">
        <f t="shared" si="46"/>
        <v>0.0019734987313222443</v>
      </c>
      <c r="BJ23" s="19">
        <f t="shared" si="47"/>
        <v>0.141439205955335</v>
      </c>
      <c r="BK23" s="19">
        <f t="shared" si="48"/>
        <v>0.13159771754636235</v>
      </c>
      <c r="BL23" s="19">
        <f t="shared" si="49"/>
        <v>0.19167473378509198</v>
      </c>
      <c r="BM23" s="19">
        <f t="shared" si="50"/>
        <v>0.007855626326963907</v>
      </c>
      <c r="BN23" s="19">
        <f t="shared" si="51"/>
        <v>1.822046061128811</v>
      </c>
      <c r="BO23" s="19">
        <f t="shared" si="4"/>
        <v>0.43665518442599577</v>
      </c>
      <c r="BP23" s="19">
        <f t="shared" si="5"/>
        <v>0.0136006310427316</v>
      </c>
      <c r="BQ23" s="19">
        <f t="shared" si="6"/>
        <v>0.1991647821468284</v>
      </c>
      <c r="BR23" s="19">
        <f t="shared" si="7"/>
        <v>0.09013550227190632</v>
      </c>
      <c r="BS23" s="19">
        <f t="shared" si="8"/>
        <v>0.0010831223059748576</v>
      </c>
      <c r="BT23" s="19">
        <f t="shared" si="9"/>
        <v>0.07762658089319062</v>
      </c>
      <c r="BU23" s="19">
        <f t="shared" si="10"/>
        <v>0.07222524191558237</v>
      </c>
      <c r="BV23" s="19">
        <f t="shared" si="11"/>
        <v>0.10519752374774975</v>
      </c>
      <c r="BW23" s="19">
        <f t="shared" si="12"/>
        <v>0.004311431250040471</v>
      </c>
      <c r="BX23" s="19">
        <f t="shared" si="52"/>
        <v>1.0000000000000002</v>
      </c>
      <c r="BY23" s="19">
        <f t="shared" si="53"/>
        <v>0.6591211717709721</v>
      </c>
      <c r="BZ23" s="19">
        <f t="shared" si="54"/>
        <v>0.0005006257822277847</v>
      </c>
      <c r="CA23" s="19">
        <f t="shared" si="55"/>
        <v>0.0011769321302471558</v>
      </c>
      <c r="CB23" s="19">
        <f t="shared" si="56"/>
        <v>0.2602644398051496</v>
      </c>
      <c r="CC23" s="19">
        <f t="shared" si="57"/>
        <v>0.0026783197067944743</v>
      </c>
      <c r="CD23" s="19">
        <f t="shared" si="58"/>
        <v>1.0496277915632755</v>
      </c>
      <c r="CE23" s="19">
        <f t="shared" si="59"/>
        <v>0.005884450784593438</v>
      </c>
      <c r="CF23" s="19">
        <f t="shared" si="60"/>
        <v>0</v>
      </c>
      <c r="CG23" s="19">
        <f t="shared" si="61"/>
        <v>0</v>
      </c>
      <c r="CH23" s="19">
        <f t="shared" si="62"/>
        <v>1.97925373154326</v>
      </c>
      <c r="CI23" s="19">
        <f t="shared" si="13"/>
        <v>0.33301499513002986</v>
      </c>
      <c r="CJ23" s="19">
        <f t="shared" si="14"/>
        <v>0.00025293663679867753</v>
      </c>
      <c r="CK23" s="19">
        <f t="shared" si="15"/>
        <v>0.0005946342863931248</v>
      </c>
      <c r="CL23" s="19">
        <f t="shared" si="16"/>
        <v>0.1314962481350063</v>
      </c>
      <c r="CM23" s="19">
        <f t="shared" si="17"/>
        <v>0.0013531967448691584</v>
      </c>
      <c r="CN23" s="19">
        <f t="shared" si="18"/>
        <v>0.5303149236681554</v>
      </c>
      <c r="CO23" s="19">
        <f t="shared" si="19"/>
        <v>0.002973065398747651</v>
      </c>
      <c r="CP23" s="19">
        <f t="shared" si="20"/>
        <v>0</v>
      </c>
      <c r="CQ23" s="19">
        <f t="shared" si="21"/>
        <v>0</v>
      </c>
      <c r="CR23" s="19">
        <f t="shared" si="63"/>
        <v>0.24107044738665417</v>
      </c>
      <c r="CS23" s="19">
        <f t="shared" si="64"/>
        <v>0.43665518442599577</v>
      </c>
      <c r="CT23" s="19">
        <f t="shared" si="65"/>
        <v>-0.8732080257631926</v>
      </c>
      <c r="CW23" s="19">
        <f t="shared" si="66"/>
        <v>14245.476402386223</v>
      </c>
      <c r="CX23" s="19">
        <f t="shared" si="22"/>
        <v>9.329241679393055</v>
      </c>
      <c r="CY23" s="19">
        <f t="shared" si="67"/>
        <v>1526.9704539708107</v>
      </c>
      <c r="DA23" s="19">
        <f t="shared" si="68"/>
        <v>13602.905801982104</v>
      </c>
      <c r="DB23" s="19">
        <f t="shared" si="23"/>
        <v>9.329241679393055</v>
      </c>
      <c r="DC23" s="19">
        <f t="shared" si="69"/>
        <v>1458.0934088168124</v>
      </c>
      <c r="DE23" s="19">
        <v>1280</v>
      </c>
      <c r="DF23" s="19">
        <f t="shared" si="70"/>
        <v>1.3</v>
      </c>
      <c r="DG23" s="19">
        <f t="shared" si="71"/>
        <v>1</v>
      </c>
      <c r="DH23" s="19">
        <f t="shared" si="72"/>
        <v>-0.8732080257631926</v>
      </c>
      <c r="DI23" s="19">
        <f t="shared" si="73"/>
        <v>0.24107044738665417</v>
      </c>
      <c r="DJ23" s="19">
        <f t="shared" si="74"/>
        <v>0.43665518442599577</v>
      </c>
      <c r="DK23" s="19">
        <f t="shared" si="75"/>
        <v>6.328766420329475</v>
      </c>
      <c r="DL23" s="19">
        <f t="shared" si="76"/>
        <v>14245.589999999995</v>
      </c>
      <c r="DM23" s="19">
        <f t="shared" si="77"/>
        <v>9.32901845222092</v>
      </c>
      <c r="DN23" s="19">
        <f t="shared" si="78"/>
        <v>1253.8691685180565</v>
      </c>
      <c r="DO23" s="19">
        <f t="shared" si="79"/>
        <v>1184.9936942877498</v>
      </c>
      <c r="DP23" s="19">
        <f t="shared" si="24"/>
        <v>1251.8136942877497</v>
      </c>
      <c r="DQ23" s="25">
        <f t="shared" si="80"/>
        <v>6.831615119025221</v>
      </c>
      <c r="DR23" s="19">
        <f t="shared" si="25"/>
        <v>3.756804619862099</v>
      </c>
      <c r="DS23" s="19">
        <f t="shared" si="81"/>
        <v>4501.617</v>
      </c>
      <c r="DT23" s="19">
        <f t="shared" si="82"/>
        <v>1198.256884640767</v>
      </c>
      <c r="DV23" s="19">
        <f t="shared" si="83"/>
        <v>10.338417835176534</v>
      </c>
      <c r="DW23" s="19">
        <f t="shared" si="84"/>
        <v>1121.6019606859954</v>
      </c>
      <c r="DX23" s="19">
        <f t="shared" si="85"/>
        <v>1280</v>
      </c>
      <c r="DZ23" s="19">
        <f t="shared" si="86"/>
        <v>0.7956058588548601</v>
      </c>
      <c r="EA23" s="19">
        <f t="shared" si="87"/>
        <v>0.024780976220275343</v>
      </c>
      <c r="EB23" s="19">
        <f t="shared" si="88"/>
        <v>0.1814437034131032</v>
      </c>
      <c r="EC23" s="19">
        <f t="shared" si="89"/>
        <v>0.1642310368823939</v>
      </c>
      <c r="ED23" s="19">
        <f t="shared" si="90"/>
        <v>0.0019734987313222443</v>
      </c>
      <c r="EE23" s="19">
        <f t="shared" si="91"/>
        <v>0.141439205955335</v>
      </c>
      <c r="EF23" s="19">
        <f t="shared" si="92"/>
        <v>0.13159771754636235</v>
      </c>
      <c r="EG23" s="19">
        <f t="shared" si="93"/>
        <v>0.09583736689254599</v>
      </c>
      <c r="EH23" s="19">
        <f t="shared" si="94"/>
        <v>0.003927813163481953</v>
      </c>
      <c r="EI23" s="19">
        <f t="shared" si="26"/>
        <v>1.5408371776596799</v>
      </c>
      <c r="EJ23" s="19">
        <f t="shared" si="95"/>
        <v>0.5163464838402174</v>
      </c>
      <c r="EK23" s="19">
        <f t="shared" si="27"/>
        <v>0.01608280003855712</v>
      </c>
      <c r="EL23" s="19">
        <f t="shared" si="27"/>
        <v>0.11775657158577345</v>
      </c>
      <c r="EM23" s="19">
        <f t="shared" si="27"/>
        <v>0.1065855881877398</v>
      </c>
      <c r="EN23" s="19">
        <f t="shared" si="27"/>
        <v>0.0012807964137519824</v>
      </c>
      <c r="EO23" s="19">
        <f t="shared" si="27"/>
        <v>0.09179373914780647</v>
      </c>
      <c r="EP23" s="19">
        <f t="shared" si="27"/>
        <v>0.08540663442859109</v>
      </c>
      <c r="EQ23" s="19">
        <f t="shared" si="27"/>
        <v>0.06219824409877609</v>
      </c>
      <c r="ER23" s="19">
        <f t="shared" si="27"/>
        <v>0.0025491422587867216</v>
      </c>
      <c r="ES23" s="19">
        <f t="shared" si="28"/>
        <v>1</v>
      </c>
    </row>
    <row r="24" spans="1:149" ht="15.75">
      <c r="A24" s="19" t="s">
        <v>143</v>
      </c>
      <c r="B24" s="19" t="s">
        <v>157</v>
      </c>
      <c r="C24" s="48">
        <v>1.3</v>
      </c>
      <c r="D24" s="20">
        <v>1280</v>
      </c>
      <c r="F24" s="40">
        <v>5208</v>
      </c>
      <c r="G24" s="41">
        <v>47.8</v>
      </c>
      <c r="H24" s="41">
        <v>1.65</v>
      </c>
      <c r="I24" s="41">
        <v>19.1</v>
      </c>
      <c r="J24" s="41">
        <v>11</v>
      </c>
      <c r="K24" s="41">
        <v>0.16</v>
      </c>
      <c r="L24" s="41">
        <v>6.1</v>
      </c>
      <c r="M24" s="41">
        <v>8.64</v>
      </c>
      <c r="N24" s="41">
        <v>4.98</v>
      </c>
      <c r="O24" s="41">
        <v>0.27</v>
      </c>
      <c r="P24" s="41">
        <v>0.04</v>
      </c>
      <c r="Q24" s="41">
        <v>0.28</v>
      </c>
      <c r="R24" s="41">
        <v>0</v>
      </c>
      <c r="S24" s="19">
        <f t="shared" si="29"/>
        <v>100.02</v>
      </c>
      <c r="U24" s="42">
        <f t="shared" si="30"/>
        <v>1154.83</v>
      </c>
      <c r="V24" s="42">
        <f t="shared" si="31"/>
        <v>1187.9323747369795</v>
      </c>
      <c r="W24" s="42">
        <f t="shared" si="32"/>
        <v>1221.5613360056034</v>
      </c>
      <c r="X24" s="42">
        <f t="shared" si="0"/>
        <v>1217.1681558780456</v>
      </c>
      <c r="Y24" s="42">
        <f t="shared" si="33"/>
        <v>1136.61</v>
      </c>
      <c r="Z24" s="42">
        <f t="shared" si="34"/>
        <v>1111.424</v>
      </c>
      <c r="AB24" s="41">
        <v>39.8</v>
      </c>
      <c r="AC24" s="41">
        <v>0.05</v>
      </c>
      <c r="AD24" s="41">
        <v>0.06</v>
      </c>
      <c r="AE24" s="41">
        <v>17.2</v>
      </c>
      <c r="AF24" s="41">
        <v>0.22</v>
      </c>
      <c r="AG24" s="41">
        <v>43.1</v>
      </c>
      <c r="AH24" s="41">
        <v>0.38</v>
      </c>
      <c r="AI24" s="41">
        <v>0</v>
      </c>
      <c r="AJ24" s="41">
        <v>0</v>
      </c>
      <c r="AK24" s="41">
        <v>0</v>
      </c>
      <c r="AL24" s="41">
        <v>0</v>
      </c>
      <c r="AM24" s="41">
        <v>0</v>
      </c>
      <c r="AO24" s="43">
        <f t="shared" si="35"/>
        <v>49.71556911698815</v>
      </c>
      <c r="AP24" s="43">
        <f t="shared" si="36"/>
        <v>81.71031123553556</v>
      </c>
      <c r="AQ24" s="47"/>
      <c r="AR24" s="44">
        <f t="shared" si="1"/>
        <v>0.2213035224636153</v>
      </c>
      <c r="AS24"/>
      <c r="AT24" s="43">
        <f t="shared" si="2"/>
        <v>6.478124897082358</v>
      </c>
      <c r="AU24" s="43">
        <f t="shared" si="3"/>
        <v>6.103676327483573</v>
      </c>
      <c r="AV24" s="45">
        <f t="shared" si="37"/>
        <v>1246.2721565335587</v>
      </c>
      <c r="AW24" s="45">
        <f t="shared" si="38"/>
        <v>1251.3155923771262</v>
      </c>
      <c r="AX24" s="45">
        <f t="shared" si="39"/>
        <v>1222.2545501208224</v>
      </c>
      <c r="AY24" s="42">
        <f t="shared" si="40"/>
        <v>1197.9096478664294</v>
      </c>
      <c r="AZ24" s="45">
        <f t="shared" si="41"/>
        <v>1132.2872685564244</v>
      </c>
      <c r="BC24" s="19" t="s">
        <v>156</v>
      </c>
      <c r="BE24" s="19">
        <f t="shared" si="42"/>
        <v>0.7956058588548601</v>
      </c>
      <c r="BF24" s="19">
        <f t="shared" si="43"/>
        <v>0.020650813516896117</v>
      </c>
      <c r="BG24" s="19">
        <f t="shared" si="44"/>
        <v>0.37465672812867795</v>
      </c>
      <c r="BH24" s="19">
        <f t="shared" si="45"/>
        <v>0.15309672929714685</v>
      </c>
      <c r="BI24" s="19">
        <f t="shared" si="46"/>
        <v>0.002255427121511136</v>
      </c>
      <c r="BJ24" s="19">
        <f t="shared" si="47"/>
        <v>0.1513647642679901</v>
      </c>
      <c r="BK24" s="19">
        <f t="shared" si="48"/>
        <v>0.15406562054208275</v>
      </c>
      <c r="BL24" s="19">
        <f t="shared" si="49"/>
        <v>0.16069699903194581</v>
      </c>
      <c r="BM24" s="19">
        <f t="shared" si="50"/>
        <v>0.0057324840764331215</v>
      </c>
      <c r="BN24" s="19">
        <f t="shared" si="51"/>
        <v>1.818125424837544</v>
      </c>
      <c r="BO24" s="19">
        <f t="shared" si="4"/>
        <v>0.43759679502086624</v>
      </c>
      <c r="BP24" s="19">
        <f t="shared" si="5"/>
        <v>0.01135829972717165</v>
      </c>
      <c r="BQ24" s="19">
        <f t="shared" si="6"/>
        <v>0.20606759193313348</v>
      </c>
      <c r="BR24" s="19">
        <f t="shared" si="7"/>
        <v>0.08420581286949803</v>
      </c>
      <c r="BS24" s="19">
        <f t="shared" si="8"/>
        <v>0.001240523393325665</v>
      </c>
      <c r="BT24" s="19">
        <f t="shared" si="9"/>
        <v>0.0832532025569771</v>
      </c>
      <c r="BU24" s="19">
        <f t="shared" si="10"/>
        <v>0.08473871958302825</v>
      </c>
      <c r="BV24" s="19">
        <f t="shared" si="11"/>
        <v>0.08838609088055883</v>
      </c>
      <c r="BW24" s="19">
        <f t="shared" si="12"/>
        <v>0.003152964035440701</v>
      </c>
      <c r="BX24" s="19">
        <f t="shared" si="52"/>
        <v>1</v>
      </c>
      <c r="BY24" s="19">
        <f t="shared" si="53"/>
        <v>0.6624500665778961</v>
      </c>
      <c r="BZ24" s="19">
        <f t="shared" si="54"/>
        <v>0.0006257822277847309</v>
      </c>
      <c r="CA24" s="19">
        <f t="shared" si="55"/>
        <v>0.0011769321302471558</v>
      </c>
      <c r="CB24" s="19">
        <f t="shared" si="56"/>
        <v>0.23938761308281142</v>
      </c>
      <c r="CC24" s="19">
        <f t="shared" si="57"/>
        <v>0.0031012122920778123</v>
      </c>
      <c r="CD24" s="19">
        <f t="shared" si="58"/>
        <v>1.0694789081885858</v>
      </c>
      <c r="CE24" s="19">
        <f t="shared" si="59"/>
        <v>0.006776034236804565</v>
      </c>
      <c r="CF24" s="19">
        <f t="shared" si="60"/>
        <v>0</v>
      </c>
      <c r="CG24" s="19">
        <f t="shared" si="61"/>
        <v>0</v>
      </c>
      <c r="CH24" s="19">
        <f t="shared" si="62"/>
        <v>1.9829965487362078</v>
      </c>
      <c r="CI24" s="19">
        <f t="shared" si="13"/>
        <v>0.3340651636535046</v>
      </c>
      <c r="CJ24" s="19">
        <f t="shared" si="14"/>
        <v>0.00031557403777810454</v>
      </c>
      <c r="CK24" s="19">
        <f t="shared" si="15"/>
        <v>0.0005935119408035438</v>
      </c>
      <c r="CL24" s="19">
        <f t="shared" si="16"/>
        <v>0.12072013601605942</v>
      </c>
      <c r="CM24" s="19">
        <f t="shared" si="17"/>
        <v>0.0015639020118589008</v>
      </c>
      <c r="CN24" s="19">
        <f t="shared" si="18"/>
        <v>0.539324644246194</v>
      </c>
      <c r="CO24" s="19">
        <f t="shared" si="19"/>
        <v>0.003417068093801287</v>
      </c>
      <c r="CP24" s="19">
        <f t="shared" si="20"/>
        <v>0</v>
      </c>
      <c r="CQ24" s="19">
        <f t="shared" si="21"/>
        <v>0</v>
      </c>
      <c r="CR24" s="19">
        <f t="shared" si="63"/>
        <v>0.253438258402829</v>
      </c>
      <c r="CS24" s="19">
        <f t="shared" si="64"/>
        <v>0.43759679502086624</v>
      </c>
      <c r="CT24" s="19">
        <f t="shared" si="65"/>
        <v>-0.8876124091101569</v>
      </c>
      <c r="CW24" s="19">
        <f t="shared" si="66"/>
        <v>14245.476402386223</v>
      </c>
      <c r="CX24" s="19">
        <f t="shared" si="22"/>
        <v>9.375588174182052</v>
      </c>
      <c r="CY24" s="19">
        <f t="shared" si="67"/>
        <v>1519.4221565335586</v>
      </c>
      <c r="DA24" s="19">
        <f t="shared" si="68"/>
        <v>13602.905801982104</v>
      </c>
      <c r="DB24" s="19">
        <f t="shared" si="23"/>
        <v>9.375588174182052</v>
      </c>
      <c r="DC24" s="19">
        <f t="shared" si="69"/>
        <v>1450.885592377126</v>
      </c>
      <c r="DE24" s="19">
        <v>1280</v>
      </c>
      <c r="DF24" s="19">
        <f t="shared" si="70"/>
        <v>1.3</v>
      </c>
      <c r="DG24" s="19">
        <f t="shared" si="71"/>
        <v>1</v>
      </c>
      <c r="DH24" s="19">
        <f t="shared" si="72"/>
        <v>-0.8876124091101569</v>
      </c>
      <c r="DI24" s="19">
        <f t="shared" si="73"/>
        <v>0.2534382584028291</v>
      </c>
      <c r="DJ24" s="19">
        <f t="shared" si="74"/>
        <v>0.43759679502086624</v>
      </c>
      <c r="DK24" s="19">
        <f t="shared" si="75"/>
        <v>6.103676327483573</v>
      </c>
      <c r="DL24" s="19">
        <f t="shared" si="76"/>
        <v>14245.589999999995</v>
      </c>
      <c r="DM24" s="19">
        <f t="shared" si="77"/>
        <v>9.375364947009917</v>
      </c>
      <c r="DN24" s="19">
        <f t="shared" si="78"/>
        <v>1246.320450538924</v>
      </c>
      <c r="DO24" s="19">
        <f t="shared" si="79"/>
        <v>1177.7854576472687</v>
      </c>
      <c r="DP24" s="19">
        <f t="shared" si="24"/>
        <v>1244.6054576472686</v>
      </c>
      <c r="DQ24" s="25">
        <f t="shared" si="80"/>
        <v>6.478124897082358</v>
      </c>
      <c r="DR24" s="19">
        <f t="shared" si="25"/>
        <v>3.7578936007550583</v>
      </c>
      <c r="DS24" s="19">
        <f t="shared" si="81"/>
        <v>4501.617</v>
      </c>
      <c r="DT24" s="19">
        <f t="shared" si="82"/>
        <v>1197.9096478664294</v>
      </c>
      <c r="DV24" s="19">
        <f t="shared" si="83"/>
        <v>9.79292099003495</v>
      </c>
      <c r="DW24" s="19">
        <f t="shared" si="84"/>
        <v>1132.2872685564244</v>
      </c>
      <c r="DX24" s="19">
        <f t="shared" si="85"/>
        <v>1280</v>
      </c>
      <c r="DZ24" s="19">
        <f t="shared" si="86"/>
        <v>0.7956058588548601</v>
      </c>
      <c r="EA24" s="19">
        <f t="shared" si="87"/>
        <v>0.020650813516896117</v>
      </c>
      <c r="EB24" s="19">
        <f t="shared" si="88"/>
        <v>0.18732836406433898</v>
      </c>
      <c r="EC24" s="19">
        <f t="shared" si="89"/>
        <v>0.15309672929714685</v>
      </c>
      <c r="ED24" s="19">
        <f t="shared" si="90"/>
        <v>0.002255427121511136</v>
      </c>
      <c r="EE24" s="19">
        <f t="shared" si="91"/>
        <v>0.1513647642679901</v>
      </c>
      <c r="EF24" s="19">
        <f t="shared" si="92"/>
        <v>0.15406562054208275</v>
      </c>
      <c r="EG24" s="19">
        <f t="shared" si="93"/>
        <v>0.08034849951597291</v>
      </c>
      <c r="EH24" s="19">
        <f t="shared" si="94"/>
        <v>0.0028662420382165607</v>
      </c>
      <c r="EI24" s="19">
        <f t="shared" si="26"/>
        <v>1.5475823192190155</v>
      </c>
      <c r="EJ24" s="19">
        <f t="shared" si="95"/>
        <v>0.514095986348798</v>
      </c>
      <c r="EK24" s="19">
        <f t="shared" si="27"/>
        <v>0.013343919260668156</v>
      </c>
      <c r="EL24" s="19">
        <f t="shared" si="27"/>
        <v>0.12104581561701602</v>
      </c>
      <c r="EM24" s="19">
        <f t="shared" si="27"/>
        <v>0.09892638820945358</v>
      </c>
      <c r="EN24" s="19">
        <f t="shared" si="27"/>
        <v>0.0014573874962912042</v>
      </c>
      <c r="EO24" s="19">
        <f t="shared" si="27"/>
        <v>0.09780724578475156</v>
      </c>
      <c r="EP24" s="19">
        <f t="shared" si="27"/>
        <v>0.09955245587183477</v>
      </c>
      <c r="EQ24" s="19">
        <f t="shared" si="27"/>
        <v>0.05191872414032271</v>
      </c>
      <c r="ER24" s="19">
        <f t="shared" si="27"/>
        <v>0.0018520772708640173</v>
      </c>
      <c r="ES24" s="19">
        <f t="shared" si="28"/>
        <v>1</v>
      </c>
    </row>
    <row r="25" spans="1:149" ht="15.75">
      <c r="A25" s="19" t="s">
        <v>143</v>
      </c>
      <c r="B25" s="19" t="s">
        <v>158</v>
      </c>
      <c r="C25" s="48">
        <v>1.3</v>
      </c>
      <c r="D25" s="20">
        <v>1290</v>
      </c>
      <c r="F25" s="40">
        <v>5207</v>
      </c>
      <c r="G25" s="41">
        <v>48</v>
      </c>
      <c r="H25" s="41">
        <v>1.42</v>
      </c>
      <c r="I25" s="41">
        <v>19.3</v>
      </c>
      <c r="J25" s="41">
        <v>10.3</v>
      </c>
      <c r="K25" s="41">
        <v>0.14</v>
      </c>
      <c r="L25" s="41">
        <v>6.28</v>
      </c>
      <c r="M25" s="41">
        <v>8.64</v>
      </c>
      <c r="N25" s="41">
        <v>5.27</v>
      </c>
      <c r="O25" s="41">
        <v>0.23</v>
      </c>
      <c r="P25" s="41">
        <v>0</v>
      </c>
      <c r="Q25" s="41">
        <v>0.26</v>
      </c>
      <c r="R25" s="41">
        <v>0</v>
      </c>
      <c r="S25" s="19">
        <f t="shared" si="29"/>
        <v>99.84</v>
      </c>
      <c r="U25" s="42">
        <f t="shared" si="30"/>
        <v>1159.564</v>
      </c>
      <c r="V25" s="42">
        <f t="shared" si="31"/>
        <v>1194.0504352248854</v>
      </c>
      <c r="W25" s="42">
        <f t="shared" si="32"/>
        <v>1226.2537280283686</v>
      </c>
      <c r="X25" s="42">
        <f t="shared" si="0"/>
        <v>1219.231440192342</v>
      </c>
      <c r="Y25" s="42">
        <f t="shared" si="33"/>
        <v>1140.228</v>
      </c>
      <c r="Z25" s="42">
        <f t="shared" si="34"/>
        <v>1111.424</v>
      </c>
      <c r="AB25" s="41">
        <v>39.7</v>
      </c>
      <c r="AC25" s="41">
        <v>0.03</v>
      </c>
      <c r="AD25" s="41">
        <v>0.06</v>
      </c>
      <c r="AE25" s="41">
        <v>16.9</v>
      </c>
      <c r="AF25" s="41">
        <v>0.2</v>
      </c>
      <c r="AG25" s="41">
        <v>44</v>
      </c>
      <c r="AH25" s="41">
        <v>0.33</v>
      </c>
      <c r="AI25" s="41">
        <v>0</v>
      </c>
      <c r="AJ25" s="41">
        <v>0</v>
      </c>
      <c r="AK25" s="41">
        <v>0</v>
      </c>
      <c r="AL25" s="41">
        <v>0</v>
      </c>
      <c r="AM25" s="41">
        <v>0</v>
      </c>
      <c r="AO25" s="43">
        <f t="shared" si="35"/>
        <v>52.085170632153925</v>
      </c>
      <c r="AP25" s="43">
        <f t="shared" si="36"/>
        <v>82.27520318961501</v>
      </c>
      <c r="AQ25" s="47"/>
      <c r="AR25" s="44">
        <f t="shared" si="1"/>
        <v>0.23418358340688428</v>
      </c>
      <c r="AS25"/>
      <c r="AT25" s="43">
        <f t="shared" si="2"/>
        <v>6.4010784300680825</v>
      </c>
      <c r="AU25" s="43">
        <f t="shared" si="3"/>
        <v>6.084052127324412</v>
      </c>
      <c r="AV25" s="45">
        <f t="shared" si="37"/>
        <v>1253.4505292688468</v>
      </c>
      <c r="AW25" s="45">
        <f t="shared" si="38"/>
        <v>1258.170170305688</v>
      </c>
      <c r="AX25" s="45">
        <f t="shared" si="39"/>
        <v>1228.9077572287815</v>
      </c>
      <c r="AY25" s="42">
        <f t="shared" si="40"/>
        <v>1205.8522354616966</v>
      </c>
      <c r="AZ25" s="45">
        <f t="shared" si="41"/>
        <v>1134.6832875350738</v>
      </c>
      <c r="BC25" s="19" t="s">
        <v>156</v>
      </c>
      <c r="BE25" s="19">
        <f t="shared" si="42"/>
        <v>0.7989347536617843</v>
      </c>
      <c r="BF25" s="19">
        <f t="shared" si="43"/>
        <v>0.017772215269086355</v>
      </c>
      <c r="BG25" s="19">
        <f t="shared" si="44"/>
        <v>0.3785798352295018</v>
      </c>
      <c r="BH25" s="19">
        <f t="shared" si="45"/>
        <v>0.1433542101600557</v>
      </c>
      <c r="BI25" s="19">
        <f t="shared" si="46"/>
        <v>0.0019734987313222443</v>
      </c>
      <c r="BJ25" s="19">
        <f t="shared" si="47"/>
        <v>0.15583126550868487</v>
      </c>
      <c r="BK25" s="19">
        <f t="shared" si="48"/>
        <v>0.15406562054208275</v>
      </c>
      <c r="BL25" s="19">
        <f t="shared" si="49"/>
        <v>0.17005485640529203</v>
      </c>
      <c r="BM25" s="19">
        <f t="shared" si="50"/>
        <v>0.004883227176220807</v>
      </c>
      <c r="BN25" s="19">
        <f t="shared" si="51"/>
        <v>1.8254494826840308</v>
      </c>
      <c r="BO25" s="19">
        <f t="shared" si="4"/>
        <v>0.43766467450366187</v>
      </c>
      <c r="BP25" s="19">
        <f t="shared" si="5"/>
        <v>0.009735802298377033</v>
      </c>
      <c r="BQ25" s="19">
        <f t="shared" si="6"/>
        <v>0.20738992714981125</v>
      </c>
      <c r="BR25" s="19">
        <f t="shared" si="7"/>
        <v>0.07853091061675194</v>
      </c>
      <c r="BS25" s="19">
        <f t="shared" si="8"/>
        <v>0.0010811029009800538</v>
      </c>
      <c r="BT25" s="19">
        <f t="shared" si="9"/>
        <v>0.08536596985393426</v>
      </c>
      <c r="BU25" s="19">
        <f t="shared" si="10"/>
        <v>0.08439873138288875</v>
      </c>
      <c r="BV25" s="19">
        <f t="shared" si="11"/>
        <v>0.09315779922611368</v>
      </c>
      <c r="BW25" s="19">
        <f t="shared" si="12"/>
        <v>0.0026750820674811574</v>
      </c>
      <c r="BX25" s="19">
        <f t="shared" si="52"/>
        <v>1.0000000000000002</v>
      </c>
      <c r="BY25" s="19">
        <f t="shared" si="53"/>
        <v>0.6607856191744341</v>
      </c>
      <c r="BZ25" s="19">
        <f t="shared" si="54"/>
        <v>0.0003754693366708385</v>
      </c>
      <c r="CA25" s="19">
        <f t="shared" si="55"/>
        <v>0.0011769321302471558</v>
      </c>
      <c r="CB25" s="19">
        <f t="shared" si="56"/>
        <v>0.23521224773834376</v>
      </c>
      <c r="CC25" s="19">
        <f t="shared" si="57"/>
        <v>0.0028192839018889204</v>
      </c>
      <c r="CD25" s="19">
        <f t="shared" si="58"/>
        <v>1.0918114143920596</v>
      </c>
      <c r="CE25" s="19">
        <f t="shared" si="59"/>
        <v>0.005884450784593438</v>
      </c>
      <c r="CF25" s="19">
        <f t="shared" si="60"/>
        <v>0</v>
      </c>
      <c r="CG25" s="19">
        <f t="shared" si="61"/>
        <v>0</v>
      </c>
      <c r="CH25" s="19">
        <f t="shared" si="62"/>
        <v>1.998065417458238</v>
      </c>
      <c r="CI25" s="19">
        <f t="shared" si="13"/>
        <v>0.33071270510002976</v>
      </c>
      <c r="CJ25" s="19">
        <f t="shared" si="14"/>
        <v>0.00018791643826580884</v>
      </c>
      <c r="CK25" s="19">
        <f t="shared" si="15"/>
        <v>0.0005890358343443754</v>
      </c>
      <c r="CL25" s="19">
        <f t="shared" si="16"/>
        <v>0.11771999339118734</v>
      </c>
      <c r="CM25" s="19">
        <f t="shared" si="17"/>
        <v>0.0014110068055105843</v>
      </c>
      <c r="CN25" s="19">
        <f t="shared" si="18"/>
        <v>0.5464342682938608</v>
      </c>
      <c r="CO25" s="19">
        <f t="shared" si="19"/>
        <v>0.0029450741368013443</v>
      </c>
      <c r="CP25" s="19">
        <f t="shared" si="20"/>
        <v>0</v>
      </c>
      <c r="CQ25" s="19">
        <f t="shared" si="21"/>
        <v>0</v>
      </c>
      <c r="CR25" s="19">
        <f t="shared" si="63"/>
        <v>0.24937671475455497</v>
      </c>
      <c r="CS25" s="19">
        <f t="shared" si="64"/>
        <v>0.43766467450366187</v>
      </c>
      <c r="CT25" s="19">
        <f t="shared" si="65"/>
        <v>-0.8819681495469224</v>
      </c>
      <c r="CW25" s="19">
        <f t="shared" si="66"/>
        <v>14245.476402386223</v>
      </c>
      <c r="CX25" s="19">
        <f t="shared" si="22"/>
        <v>9.331502334280586</v>
      </c>
      <c r="CY25" s="19">
        <f t="shared" si="67"/>
        <v>1526.600529268847</v>
      </c>
      <c r="DA25" s="19">
        <f t="shared" si="68"/>
        <v>13602.905801982104</v>
      </c>
      <c r="DB25" s="19">
        <f t="shared" si="23"/>
        <v>9.331502334280586</v>
      </c>
      <c r="DC25" s="19">
        <f t="shared" si="69"/>
        <v>1457.7401703056878</v>
      </c>
      <c r="DE25" s="19">
        <v>1290</v>
      </c>
      <c r="DF25" s="19">
        <f t="shared" si="70"/>
        <v>1.3</v>
      </c>
      <c r="DG25" s="19">
        <f t="shared" si="71"/>
        <v>1</v>
      </c>
      <c r="DH25" s="19">
        <f t="shared" si="72"/>
        <v>-0.8819681495469224</v>
      </c>
      <c r="DI25" s="19">
        <f t="shared" si="73"/>
        <v>0.24937671475455497</v>
      </c>
      <c r="DJ25" s="19">
        <f t="shared" si="74"/>
        <v>0.43766467450366187</v>
      </c>
      <c r="DK25" s="19">
        <f t="shared" si="75"/>
        <v>6.084052127324412</v>
      </c>
      <c r="DL25" s="19">
        <f t="shared" si="76"/>
        <v>14245.589999999995</v>
      </c>
      <c r="DM25" s="19">
        <f t="shared" si="77"/>
        <v>9.33127910710845</v>
      </c>
      <c r="DN25" s="19">
        <f t="shared" si="78"/>
        <v>1253.4992231646875</v>
      </c>
      <c r="DO25" s="19">
        <f t="shared" si="79"/>
        <v>1184.6404351438127</v>
      </c>
      <c r="DP25" s="19">
        <f t="shared" si="24"/>
        <v>1251.4604351438127</v>
      </c>
      <c r="DQ25" s="25">
        <f t="shared" si="80"/>
        <v>6.4010784300680825</v>
      </c>
      <c r="DR25" s="19">
        <f t="shared" si="25"/>
        <v>3.7331414808684427</v>
      </c>
      <c r="DS25" s="19">
        <f t="shared" si="81"/>
        <v>4501.617</v>
      </c>
      <c r="DT25" s="19">
        <f t="shared" si="82"/>
        <v>1205.8522354616966</v>
      </c>
      <c r="DV25" s="19">
        <f t="shared" si="83"/>
        <v>9.675700152085213</v>
      </c>
      <c r="DW25" s="19">
        <f t="shared" si="84"/>
        <v>1134.6832875350738</v>
      </c>
      <c r="DX25" s="19">
        <f t="shared" si="85"/>
        <v>1290</v>
      </c>
      <c r="DZ25" s="19">
        <f t="shared" si="86"/>
        <v>0.7989347536617843</v>
      </c>
      <c r="EA25" s="19">
        <f t="shared" si="87"/>
        <v>0.017772215269086355</v>
      </c>
      <c r="EB25" s="19">
        <f t="shared" si="88"/>
        <v>0.1892899176147509</v>
      </c>
      <c r="EC25" s="19">
        <f t="shared" si="89"/>
        <v>0.1433542101600557</v>
      </c>
      <c r="ED25" s="19">
        <f t="shared" si="90"/>
        <v>0.0019734987313222443</v>
      </c>
      <c r="EE25" s="19">
        <f t="shared" si="91"/>
        <v>0.15583126550868487</v>
      </c>
      <c r="EF25" s="19">
        <f t="shared" si="92"/>
        <v>0.15406562054208275</v>
      </c>
      <c r="EG25" s="19">
        <f t="shared" si="93"/>
        <v>0.08502742820264601</v>
      </c>
      <c r="EH25" s="19">
        <f t="shared" si="94"/>
        <v>0.0024416135881104033</v>
      </c>
      <c r="EI25" s="19">
        <f t="shared" si="26"/>
        <v>1.5486905232785235</v>
      </c>
      <c r="EJ25" s="19">
        <f t="shared" si="95"/>
        <v>0.5158776021761065</v>
      </c>
      <c r="EK25" s="19">
        <f t="shared" si="27"/>
        <v>0.011475640227631275</v>
      </c>
      <c r="EL25" s="19">
        <f t="shared" si="27"/>
        <v>0.12222578673370504</v>
      </c>
      <c r="EM25" s="19">
        <f t="shared" si="27"/>
        <v>0.09256478812602266</v>
      </c>
      <c r="EN25" s="19">
        <f t="shared" si="27"/>
        <v>0.001274301548087488</v>
      </c>
      <c r="EO25" s="19">
        <f t="shared" si="27"/>
        <v>0.10062130759268517</v>
      </c>
      <c r="EP25" s="19">
        <f t="shared" si="27"/>
        <v>0.0994812186336178</v>
      </c>
      <c r="EQ25" s="19">
        <f t="shared" si="27"/>
        <v>0.054902788468444895</v>
      </c>
      <c r="ER25" s="19">
        <f t="shared" si="27"/>
        <v>0.0015765664936992015</v>
      </c>
      <c r="ES25" s="19">
        <f t="shared" si="28"/>
        <v>1</v>
      </c>
    </row>
    <row r="26" ht="15.75"/>
    <row r="27" ht="15.75"/>
    <row r="28" ht="15.75"/>
    <row r="29" ht="15.75"/>
    <row r="30" ht="15.75"/>
    <row r="31" ht="15.75"/>
    <row r="32" ht="15.75"/>
    <row r="33" ht="15.75"/>
    <row r="34" ht="15.75"/>
    <row r="35" ht="15.75"/>
    <row r="36" ht="15.75"/>
    <row r="37" ht="15.75"/>
    <row r="38" ht="15.75"/>
    <row r="39" ht="15.75"/>
    <row r="40" ht="15.75"/>
    <row r="41" ht="15.75"/>
    <row r="42" ht="15.75"/>
    <row r="43" 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T162"/>
  <sheetViews>
    <sheetView workbookViewId="0" topLeftCell="A1">
      <selection activeCell="B3" sqref="B3:D4"/>
    </sheetView>
  </sheetViews>
  <sheetFormatPr defaultColWidth="11.19921875" defaultRowHeight="15"/>
  <cols>
    <col min="3" max="3" width="12.59765625" style="0" customWidth="1"/>
    <col min="5" max="5" width="6.09765625" style="0" customWidth="1"/>
    <col min="10" max="10" width="3.8984375" style="0" customWidth="1"/>
  </cols>
  <sheetData>
    <row r="1" ht="24.75">
      <c r="A1" s="17" t="s">
        <v>114</v>
      </c>
    </row>
    <row r="3" spans="2:4" ht="18.75" thickBot="1">
      <c r="B3" s="9" t="s">
        <v>56</v>
      </c>
      <c r="C3" s="10"/>
      <c r="D3" s="11"/>
    </row>
    <row r="4" spans="2:4" ht="18.75" thickBot="1">
      <c r="B4" s="12"/>
      <c r="C4" s="16">
        <v>0.3</v>
      </c>
      <c r="D4" s="13"/>
    </row>
    <row r="5" spans="2:12" ht="18.75" thickBot="1">
      <c r="B5" s="9" t="s">
        <v>106</v>
      </c>
      <c r="C5" s="15"/>
      <c r="D5" s="11"/>
      <c r="G5" s="7" t="s">
        <v>107</v>
      </c>
      <c r="L5" s="7" t="s">
        <v>108</v>
      </c>
    </row>
    <row r="6" spans="2:12" ht="18.75" thickBot="1">
      <c r="B6" s="14"/>
      <c r="C6" s="16">
        <v>0.03</v>
      </c>
      <c r="D6" s="13"/>
      <c r="G6" s="8">
        <f>C4-C6</f>
        <v>0.27</v>
      </c>
      <c r="L6" s="8">
        <f>C4+C6</f>
        <v>0.32999999999999996</v>
      </c>
    </row>
    <row r="7" spans="1:2" ht="15.75">
      <c r="A7" s="7"/>
      <c r="B7" s="7"/>
    </row>
    <row r="8" spans="3:14" ht="15.75">
      <c r="C8" t="s">
        <v>45</v>
      </c>
      <c r="D8" t="s">
        <v>45</v>
      </c>
      <c r="H8" t="s">
        <v>45</v>
      </c>
      <c r="I8" t="s">
        <v>45</v>
      </c>
      <c r="M8" t="s">
        <v>45</v>
      </c>
      <c r="N8" t="s">
        <v>45</v>
      </c>
    </row>
    <row r="9" spans="1:14" ht="15.75">
      <c r="A9" s="2" t="s">
        <v>109</v>
      </c>
      <c r="B9" s="2" t="s">
        <v>110</v>
      </c>
      <c r="C9" s="2" t="s">
        <v>111</v>
      </c>
      <c r="D9" s="2" t="s">
        <v>112</v>
      </c>
      <c r="F9" s="2" t="s">
        <v>109</v>
      </c>
      <c r="G9" s="2" t="s">
        <v>110</v>
      </c>
      <c r="H9" s="2" t="s">
        <v>111</v>
      </c>
      <c r="I9" s="2" t="s">
        <v>112</v>
      </c>
      <c r="K9" s="2" t="s">
        <v>109</v>
      </c>
      <c r="L9" s="2" t="s">
        <v>110</v>
      </c>
      <c r="M9" s="2" t="s">
        <v>111</v>
      </c>
      <c r="N9" s="2" t="s">
        <v>112</v>
      </c>
    </row>
    <row r="10" spans="1:14" ht="15.75">
      <c r="A10">
        <v>0</v>
      </c>
      <c r="B10">
        <f aca="true" t="shared" si="0" ref="B10:B41">$C$4*A10</f>
        <v>0</v>
      </c>
      <c r="C10" s="7">
        <f>100*B10/(B10+1)</f>
        <v>0</v>
      </c>
      <c r="D10" s="7">
        <f>100*A10/(A10+1)</f>
        <v>0</v>
      </c>
      <c r="F10">
        <f>A10</f>
        <v>0</v>
      </c>
      <c r="G10">
        <f aca="true" t="shared" si="1" ref="G10:G41">$G$6*A10</f>
        <v>0</v>
      </c>
      <c r="H10" s="7">
        <f aca="true" t="shared" si="2" ref="H10:H40">100*G10/(G10+1)</f>
        <v>0</v>
      </c>
      <c r="I10" s="7">
        <f aca="true" t="shared" si="3" ref="I10:I41">100*F10/(F10+1)</f>
        <v>0</v>
      </c>
      <c r="K10">
        <f>A10</f>
        <v>0</v>
      </c>
      <c r="L10">
        <f aca="true" t="shared" si="4" ref="L10:L41">$L$6*K10</f>
        <v>0</v>
      </c>
      <c r="M10" s="7">
        <f>100*L10/(L10+1)</f>
        <v>0</v>
      </c>
      <c r="N10" s="7">
        <f>100*K10/(K10+1)</f>
        <v>0</v>
      </c>
    </row>
    <row r="11" spans="1:14" ht="15.75">
      <c r="A11">
        <v>0.1</v>
      </c>
      <c r="B11">
        <f t="shared" si="0"/>
        <v>0.03</v>
      </c>
      <c r="C11" s="7">
        <f aca="true" t="shared" si="5" ref="C11:C41">100*B11/(B11+1)</f>
        <v>2.912621359223301</v>
      </c>
      <c r="D11" s="7">
        <f aca="true" t="shared" si="6" ref="D11:D41">100*A11/(A11+1)</f>
        <v>9.09090909090909</v>
      </c>
      <c r="F11">
        <f aca="true" t="shared" si="7" ref="F11:F41">A11</f>
        <v>0.1</v>
      </c>
      <c r="G11">
        <f t="shared" si="1"/>
        <v>0.027000000000000003</v>
      </c>
      <c r="H11" s="7">
        <f t="shared" si="2"/>
        <v>2.6290165530671863</v>
      </c>
      <c r="I11" s="7">
        <f t="shared" si="3"/>
        <v>9.09090909090909</v>
      </c>
      <c r="K11">
        <f aca="true" t="shared" si="8" ref="K11:K41">A11</f>
        <v>0.1</v>
      </c>
      <c r="L11">
        <f t="shared" si="4"/>
        <v>0.032999999999999995</v>
      </c>
      <c r="M11" s="7">
        <f aca="true" t="shared" si="9" ref="M11:M41">100*L11/(L11+1)</f>
        <v>3.194578896418199</v>
      </c>
      <c r="N11" s="7">
        <f aca="true" t="shared" si="10" ref="N11:N41">100*K11/(K11+1)</f>
        <v>9.09090909090909</v>
      </c>
    </row>
    <row r="12" spans="1:14" ht="15.75">
      <c r="A12">
        <v>0.2</v>
      </c>
      <c r="B12">
        <f t="shared" si="0"/>
        <v>0.06</v>
      </c>
      <c r="C12" s="7">
        <f t="shared" si="5"/>
        <v>5.660377358490566</v>
      </c>
      <c r="D12" s="7">
        <f t="shared" si="6"/>
        <v>16.666666666666668</v>
      </c>
      <c r="F12">
        <f t="shared" si="7"/>
        <v>0.2</v>
      </c>
      <c r="G12">
        <f t="shared" si="1"/>
        <v>0.054000000000000006</v>
      </c>
      <c r="H12" s="7">
        <f t="shared" si="2"/>
        <v>5.1233396584440225</v>
      </c>
      <c r="I12" s="7">
        <f t="shared" si="3"/>
        <v>16.666666666666668</v>
      </c>
      <c r="K12">
        <f t="shared" si="8"/>
        <v>0.2</v>
      </c>
      <c r="L12">
        <f t="shared" si="4"/>
        <v>0.06599999999999999</v>
      </c>
      <c r="M12" s="7">
        <f t="shared" si="9"/>
        <v>6.191369606003751</v>
      </c>
      <c r="N12" s="7">
        <f t="shared" si="10"/>
        <v>16.666666666666668</v>
      </c>
    </row>
    <row r="13" spans="1:14" ht="15.75">
      <c r="A13">
        <v>0.3</v>
      </c>
      <c r="B13">
        <f t="shared" si="0"/>
        <v>0.09</v>
      </c>
      <c r="C13" s="7">
        <f>100*B13/(B13+1)</f>
        <v>8.256880733944953</v>
      </c>
      <c r="D13" s="7">
        <f t="shared" si="6"/>
        <v>23.076923076923077</v>
      </c>
      <c r="F13">
        <f t="shared" si="7"/>
        <v>0.3</v>
      </c>
      <c r="G13">
        <f t="shared" si="1"/>
        <v>0.081</v>
      </c>
      <c r="H13" s="7">
        <f t="shared" si="2"/>
        <v>7.493061979648473</v>
      </c>
      <c r="I13" s="7">
        <f t="shared" si="3"/>
        <v>23.076923076923077</v>
      </c>
      <c r="K13">
        <f t="shared" si="8"/>
        <v>0.3</v>
      </c>
      <c r="L13">
        <f t="shared" si="4"/>
        <v>0.09899999999999999</v>
      </c>
      <c r="M13" s="7">
        <f t="shared" si="9"/>
        <v>9.008189262966331</v>
      </c>
      <c r="N13" s="7">
        <f t="shared" si="10"/>
        <v>23.076923076923077</v>
      </c>
    </row>
    <row r="14" spans="1:14" ht="15.75">
      <c r="A14">
        <v>0.4</v>
      </c>
      <c r="B14">
        <f t="shared" si="0"/>
        <v>0.12</v>
      </c>
      <c r="C14" s="7">
        <f t="shared" si="5"/>
        <v>10.714285714285714</v>
      </c>
      <c r="D14" s="7">
        <f t="shared" si="6"/>
        <v>28.571428571428573</v>
      </c>
      <c r="F14">
        <f t="shared" si="7"/>
        <v>0.4</v>
      </c>
      <c r="G14">
        <f t="shared" si="1"/>
        <v>0.10800000000000001</v>
      </c>
      <c r="H14" s="7">
        <f t="shared" si="2"/>
        <v>9.747292418772563</v>
      </c>
      <c r="I14" s="7">
        <f t="shared" si="3"/>
        <v>28.571428571428573</v>
      </c>
      <c r="K14">
        <f t="shared" si="8"/>
        <v>0.4</v>
      </c>
      <c r="L14">
        <f t="shared" si="4"/>
        <v>0.13199999999999998</v>
      </c>
      <c r="M14" s="7">
        <f t="shared" si="9"/>
        <v>11.66077738515901</v>
      </c>
      <c r="N14" s="7">
        <f t="shared" si="10"/>
        <v>28.571428571428573</v>
      </c>
    </row>
    <row r="15" spans="1:14" ht="15.75">
      <c r="A15">
        <v>0.5</v>
      </c>
      <c r="B15">
        <f t="shared" si="0"/>
        <v>0.15</v>
      </c>
      <c r="C15" s="7">
        <f t="shared" si="5"/>
        <v>13.043478260869566</v>
      </c>
      <c r="D15" s="7">
        <f t="shared" si="6"/>
        <v>33.333333333333336</v>
      </c>
      <c r="F15">
        <f t="shared" si="7"/>
        <v>0.5</v>
      </c>
      <c r="G15">
        <f t="shared" si="1"/>
        <v>0.135</v>
      </c>
      <c r="H15" s="7">
        <f t="shared" si="2"/>
        <v>11.894273127753303</v>
      </c>
      <c r="I15" s="7">
        <f t="shared" si="3"/>
        <v>33.333333333333336</v>
      </c>
      <c r="K15">
        <f t="shared" si="8"/>
        <v>0.5</v>
      </c>
      <c r="L15">
        <f t="shared" si="4"/>
        <v>0.16499999999999998</v>
      </c>
      <c r="M15" s="7">
        <f t="shared" si="9"/>
        <v>14.16309012875536</v>
      </c>
      <c r="N15" s="7">
        <f t="shared" si="10"/>
        <v>33.333333333333336</v>
      </c>
    </row>
    <row r="16" spans="1:14" ht="15.75">
      <c r="A16">
        <v>0.6</v>
      </c>
      <c r="B16">
        <f t="shared" si="0"/>
        <v>0.18</v>
      </c>
      <c r="C16" s="7">
        <f t="shared" si="5"/>
        <v>15.254237288135593</v>
      </c>
      <c r="D16" s="7">
        <f t="shared" si="6"/>
        <v>37.5</v>
      </c>
      <c r="F16">
        <f t="shared" si="7"/>
        <v>0.6</v>
      </c>
      <c r="G16">
        <f t="shared" si="1"/>
        <v>0.162</v>
      </c>
      <c r="H16" s="7">
        <f t="shared" si="2"/>
        <v>13.941480206540447</v>
      </c>
      <c r="I16" s="7">
        <f t="shared" si="3"/>
        <v>37.5</v>
      </c>
      <c r="K16">
        <f t="shared" si="8"/>
        <v>0.6</v>
      </c>
      <c r="L16">
        <f t="shared" si="4"/>
        <v>0.19799999999999998</v>
      </c>
      <c r="M16" s="7">
        <f t="shared" si="9"/>
        <v>16.52754590984975</v>
      </c>
      <c r="N16" s="7">
        <f t="shared" si="10"/>
        <v>37.5</v>
      </c>
    </row>
    <row r="17" spans="1:14" ht="15.75">
      <c r="A17">
        <v>0.7</v>
      </c>
      <c r="B17">
        <f t="shared" si="0"/>
        <v>0.21</v>
      </c>
      <c r="C17" s="7">
        <f t="shared" si="5"/>
        <v>17.355371900826448</v>
      </c>
      <c r="D17" s="7">
        <f t="shared" si="6"/>
        <v>41.1764705882353</v>
      </c>
      <c r="F17">
        <f t="shared" si="7"/>
        <v>0.7</v>
      </c>
      <c r="G17">
        <f t="shared" si="1"/>
        <v>0.189</v>
      </c>
      <c r="H17" s="7">
        <f t="shared" si="2"/>
        <v>15.895710681244742</v>
      </c>
      <c r="I17" s="7">
        <f t="shared" si="3"/>
        <v>41.1764705882353</v>
      </c>
      <c r="K17">
        <f t="shared" si="8"/>
        <v>0.7</v>
      </c>
      <c r="L17">
        <f t="shared" si="4"/>
        <v>0.23099999999999996</v>
      </c>
      <c r="M17" s="7">
        <f t="shared" si="9"/>
        <v>18.765231519090168</v>
      </c>
      <c r="N17" s="7">
        <f t="shared" si="10"/>
        <v>41.1764705882353</v>
      </c>
    </row>
    <row r="18" spans="1:14" ht="15.75">
      <c r="A18">
        <v>0.8</v>
      </c>
      <c r="B18">
        <f t="shared" si="0"/>
        <v>0.24</v>
      </c>
      <c r="C18" s="7">
        <f t="shared" si="5"/>
        <v>19.35483870967742</v>
      </c>
      <c r="D18" s="7">
        <f t="shared" si="6"/>
        <v>44.44444444444444</v>
      </c>
      <c r="F18">
        <f t="shared" si="7"/>
        <v>0.8</v>
      </c>
      <c r="G18">
        <f t="shared" si="1"/>
        <v>0.21600000000000003</v>
      </c>
      <c r="H18" s="7">
        <f t="shared" si="2"/>
        <v>17.763157894736842</v>
      </c>
      <c r="I18" s="7">
        <f t="shared" si="3"/>
        <v>44.44444444444444</v>
      </c>
      <c r="K18">
        <f t="shared" si="8"/>
        <v>0.8</v>
      </c>
      <c r="L18">
        <f t="shared" si="4"/>
        <v>0.26399999999999996</v>
      </c>
      <c r="M18" s="7">
        <f t="shared" si="9"/>
        <v>20.886075949367086</v>
      </c>
      <c r="N18" s="7">
        <f t="shared" si="10"/>
        <v>44.44444444444444</v>
      </c>
    </row>
    <row r="19" spans="1:14" ht="15.75">
      <c r="A19">
        <v>0.9</v>
      </c>
      <c r="B19">
        <f t="shared" si="0"/>
        <v>0.27</v>
      </c>
      <c r="C19" s="7">
        <f t="shared" si="5"/>
        <v>21.25984251968504</v>
      </c>
      <c r="D19" s="7">
        <f t="shared" si="6"/>
        <v>47.36842105263158</v>
      </c>
      <c r="F19">
        <f t="shared" si="7"/>
        <v>0.9</v>
      </c>
      <c r="G19">
        <f t="shared" si="1"/>
        <v>0.24300000000000002</v>
      </c>
      <c r="H19" s="7">
        <f t="shared" si="2"/>
        <v>19.549477071600965</v>
      </c>
      <c r="I19" s="7">
        <f t="shared" si="3"/>
        <v>47.36842105263158</v>
      </c>
      <c r="K19">
        <f t="shared" si="8"/>
        <v>0.9</v>
      </c>
      <c r="L19">
        <f t="shared" si="4"/>
        <v>0.297</v>
      </c>
      <c r="M19" s="7">
        <f t="shared" si="9"/>
        <v>22.89899768696993</v>
      </c>
      <c r="N19" s="7">
        <f t="shared" si="10"/>
        <v>47.36842105263158</v>
      </c>
    </row>
    <row r="20" spans="1:14" ht="15.75">
      <c r="A20">
        <v>1</v>
      </c>
      <c r="B20">
        <f t="shared" si="0"/>
        <v>0.3</v>
      </c>
      <c r="C20" s="7">
        <f t="shared" si="5"/>
        <v>23.076923076923077</v>
      </c>
      <c r="D20" s="7">
        <f t="shared" si="6"/>
        <v>50</v>
      </c>
      <c r="F20">
        <f t="shared" si="7"/>
        <v>1</v>
      </c>
      <c r="G20">
        <f t="shared" si="1"/>
        <v>0.27</v>
      </c>
      <c r="H20" s="7">
        <f t="shared" si="2"/>
        <v>21.25984251968504</v>
      </c>
      <c r="I20" s="7">
        <f t="shared" si="3"/>
        <v>50</v>
      </c>
      <c r="K20">
        <f t="shared" si="8"/>
        <v>1</v>
      </c>
      <c r="L20">
        <f t="shared" si="4"/>
        <v>0.32999999999999996</v>
      </c>
      <c r="M20" s="7">
        <f t="shared" si="9"/>
        <v>24.812030075187963</v>
      </c>
      <c r="N20" s="7">
        <f t="shared" si="10"/>
        <v>50</v>
      </c>
    </row>
    <row r="21" spans="1:14" ht="15.75">
      <c r="A21">
        <v>1.1</v>
      </c>
      <c r="B21">
        <f t="shared" si="0"/>
        <v>0.33</v>
      </c>
      <c r="C21" s="7">
        <f t="shared" si="5"/>
        <v>24.81203007518797</v>
      </c>
      <c r="D21" s="7">
        <f t="shared" si="6"/>
        <v>52.38095238095239</v>
      </c>
      <c r="F21">
        <f t="shared" si="7"/>
        <v>1.1</v>
      </c>
      <c r="G21">
        <f t="shared" si="1"/>
        <v>0.29700000000000004</v>
      </c>
      <c r="H21" s="7">
        <f t="shared" si="2"/>
        <v>22.89899768696993</v>
      </c>
      <c r="I21" s="7">
        <f t="shared" si="3"/>
        <v>52.38095238095239</v>
      </c>
      <c r="K21">
        <f t="shared" si="8"/>
        <v>1.1</v>
      </c>
      <c r="L21">
        <f t="shared" si="4"/>
        <v>0.363</v>
      </c>
      <c r="M21" s="7">
        <f t="shared" si="9"/>
        <v>26.632428466617753</v>
      </c>
      <c r="N21" s="7">
        <f t="shared" si="10"/>
        <v>52.38095238095239</v>
      </c>
    </row>
    <row r="22" spans="1:14" ht="15.75">
      <c r="A22">
        <v>1.2</v>
      </c>
      <c r="B22">
        <f t="shared" si="0"/>
        <v>0.36</v>
      </c>
      <c r="C22" s="7">
        <f t="shared" si="5"/>
        <v>26.47058823529412</v>
      </c>
      <c r="D22" s="7">
        <f t="shared" si="6"/>
        <v>54.54545454545454</v>
      </c>
      <c r="F22">
        <f t="shared" si="7"/>
        <v>1.2</v>
      </c>
      <c r="G22">
        <f t="shared" si="1"/>
        <v>0.324</v>
      </c>
      <c r="H22" s="7">
        <f t="shared" si="2"/>
        <v>24.47129909365559</v>
      </c>
      <c r="I22" s="7">
        <f t="shared" si="3"/>
        <v>54.54545454545454</v>
      </c>
      <c r="K22">
        <f t="shared" si="8"/>
        <v>1.2</v>
      </c>
      <c r="L22">
        <f t="shared" si="4"/>
        <v>0.39599999999999996</v>
      </c>
      <c r="M22" s="7">
        <f t="shared" si="9"/>
        <v>28.36676217765043</v>
      </c>
      <c r="N22" s="7">
        <f t="shared" si="10"/>
        <v>54.54545454545454</v>
      </c>
    </row>
    <row r="23" spans="1:14" ht="15.75">
      <c r="A23">
        <v>1.3</v>
      </c>
      <c r="B23">
        <f t="shared" si="0"/>
        <v>0.39</v>
      </c>
      <c r="C23" s="7">
        <f t="shared" si="5"/>
        <v>28.05755395683453</v>
      </c>
      <c r="D23" s="7">
        <f t="shared" si="6"/>
        <v>56.52173913043479</v>
      </c>
      <c r="F23">
        <f t="shared" si="7"/>
        <v>1.3</v>
      </c>
      <c r="G23">
        <f t="shared" si="1"/>
        <v>0.35100000000000003</v>
      </c>
      <c r="H23" s="7">
        <f t="shared" si="2"/>
        <v>25.98075499629904</v>
      </c>
      <c r="I23" s="7">
        <f t="shared" si="3"/>
        <v>56.52173913043479</v>
      </c>
      <c r="K23">
        <f t="shared" si="8"/>
        <v>1.3</v>
      </c>
      <c r="L23">
        <f t="shared" si="4"/>
        <v>0.42899999999999994</v>
      </c>
      <c r="M23" s="7">
        <f t="shared" si="9"/>
        <v>30.02099370188943</v>
      </c>
      <c r="N23" s="7">
        <f t="shared" si="10"/>
        <v>56.52173913043479</v>
      </c>
    </row>
    <row r="24" spans="1:14" ht="15.75">
      <c r="A24">
        <v>1.4</v>
      </c>
      <c r="B24">
        <f t="shared" si="0"/>
        <v>0.42</v>
      </c>
      <c r="C24" s="7">
        <f t="shared" si="5"/>
        <v>29.577464788732396</v>
      </c>
      <c r="D24" s="7">
        <f t="shared" si="6"/>
        <v>58.333333333333336</v>
      </c>
      <c r="F24">
        <f t="shared" si="7"/>
        <v>1.4</v>
      </c>
      <c r="G24">
        <f t="shared" si="1"/>
        <v>0.378</v>
      </c>
      <c r="H24" s="7">
        <f t="shared" si="2"/>
        <v>27.4310595065312</v>
      </c>
      <c r="I24" s="7">
        <f t="shared" si="3"/>
        <v>58.333333333333336</v>
      </c>
      <c r="K24">
        <f t="shared" si="8"/>
        <v>1.4</v>
      </c>
      <c r="L24">
        <f t="shared" si="4"/>
        <v>0.4619999999999999</v>
      </c>
      <c r="M24" s="7">
        <f t="shared" si="9"/>
        <v>31.60054719562243</v>
      </c>
      <c r="N24" s="7">
        <f t="shared" si="10"/>
        <v>58.333333333333336</v>
      </c>
    </row>
    <row r="25" spans="1:14" ht="15.75">
      <c r="A25">
        <v>1.5</v>
      </c>
      <c r="B25">
        <f t="shared" si="0"/>
        <v>0.44999999999999996</v>
      </c>
      <c r="C25" s="7">
        <f t="shared" si="5"/>
        <v>31.034482758620687</v>
      </c>
      <c r="D25" s="7">
        <f t="shared" si="6"/>
        <v>60</v>
      </c>
      <c r="F25">
        <f t="shared" si="7"/>
        <v>1.5</v>
      </c>
      <c r="G25">
        <f t="shared" si="1"/>
        <v>0.405</v>
      </c>
      <c r="H25" s="7">
        <f t="shared" si="2"/>
        <v>28.82562277580071</v>
      </c>
      <c r="I25" s="7">
        <f t="shared" si="3"/>
        <v>60</v>
      </c>
      <c r="K25">
        <f t="shared" si="8"/>
        <v>1.5</v>
      </c>
      <c r="L25">
        <f t="shared" si="4"/>
        <v>0.49499999999999994</v>
      </c>
      <c r="M25" s="7">
        <f t="shared" si="9"/>
        <v>33.11036789297658</v>
      </c>
      <c r="N25" s="7">
        <f t="shared" si="10"/>
        <v>60</v>
      </c>
    </row>
    <row r="26" spans="1:14" ht="15.75">
      <c r="A26">
        <v>1.6</v>
      </c>
      <c r="B26">
        <f t="shared" si="0"/>
        <v>0.48</v>
      </c>
      <c r="C26" s="7">
        <f t="shared" si="5"/>
        <v>32.432432432432435</v>
      </c>
      <c r="D26" s="7">
        <f t="shared" si="6"/>
        <v>61.53846153846153</v>
      </c>
      <c r="F26">
        <f t="shared" si="7"/>
        <v>1.6</v>
      </c>
      <c r="G26">
        <f t="shared" si="1"/>
        <v>0.43200000000000005</v>
      </c>
      <c r="H26" s="7">
        <f t="shared" si="2"/>
        <v>30.16759776536313</v>
      </c>
      <c r="I26" s="7">
        <f t="shared" si="3"/>
        <v>61.53846153846153</v>
      </c>
      <c r="K26">
        <f t="shared" si="8"/>
        <v>1.6</v>
      </c>
      <c r="L26">
        <f t="shared" si="4"/>
        <v>0.5279999999999999</v>
      </c>
      <c r="M26" s="7">
        <f t="shared" si="9"/>
        <v>34.55497382198952</v>
      </c>
      <c r="N26" s="7">
        <f t="shared" si="10"/>
        <v>61.53846153846153</v>
      </c>
    </row>
    <row r="27" spans="1:14" ht="15.75">
      <c r="A27">
        <v>1.7</v>
      </c>
      <c r="B27">
        <f t="shared" si="0"/>
        <v>0.51</v>
      </c>
      <c r="C27" s="7">
        <f t="shared" si="5"/>
        <v>33.77483443708609</v>
      </c>
      <c r="D27" s="7">
        <f t="shared" si="6"/>
        <v>62.96296296296296</v>
      </c>
      <c r="F27">
        <f t="shared" si="7"/>
        <v>1.7</v>
      </c>
      <c r="G27">
        <f t="shared" si="1"/>
        <v>0.459</v>
      </c>
      <c r="H27" s="7">
        <f t="shared" si="2"/>
        <v>31.45990404386566</v>
      </c>
      <c r="I27" s="7">
        <f t="shared" si="3"/>
        <v>62.96296296296296</v>
      </c>
      <c r="K27">
        <f t="shared" si="8"/>
        <v>1.7</v>
      </c>
      <c r="L27">
        <f t="shared" si="4"/>
        <v>0.5609999999999999</v>
      </c>
      <c r="M27" s="7">
        <f t="shared" si="9"/>
        <v>35.93850096092248</v>
      </c>
      <c r="N27" s="7">
        <f t="shared" si="10"/>
        <v>62.96296296296296</v>
      </c>
    </row>
    <row r="28" spans="1:14" ht="15.75">
      <c r="A28">
        <v>2.2</v>
      </c>
      <c r="B28">
        <f t="shared" si="0"/>
        <v>0.66</v>
      </c>
      <c r="C28" s="7">
        <f t="shared" si="5"/>
        <v>39.75903614457831</v>
      </c>
      <c r="D28" s="7">
        <f t="shared" si="6"/>
        <v>68.75</v>
      </c>
      <c r="F28">
        <f t="shared" si="7"/>
        <v>2.2</v>
      </c>
      <c r="G28">
        <f t="shared" si="1"/>
        <v>0.5940000000000001</v>
      </c>
      <c r="H28" s="7">
        <f t="shared" si="2"/>
        <v>37.26474278544542</v>
      </c>
      <c r="I28" s="7">
        <f t="shared" si="3"/>
        <v>68.75</v>
      </c>
      <c r="K28">
        <f t="shared" si="8"/>
        <v>2.2</v>
      </c>
      <c r="L28">
        <f t="shared" si="4"/>
        <v>0.726</v>
      </c>
      <c r="M28" s="7">
        <f t="shared" si="9"/>
        <v>42.06257242178447</v>
      </c>
      <c r="N28" s="7">
        <f t="shared" si="10"/>
        <v>68.75</v>
      </c>
    </row>
    <row r="29" spans="1:14" ht="15.75">
      <c r="A29">
        <v>2.7</v>
      </c>
      <c r="B29">
        <f t="shared" si="0"/>
        <v>0.81</v>
      </c>
      <c r="C29" s="7">
        <f t="shared" si="5"/>
        <v>44.751381215469614</v>
      </c>
      <c r="D29" s="7">
        <f t="shared" si="6"/>
        <v>72.97297297297297</v>
      </c>
      <c r="F29">
        <f t="shared" si="7"/>
        <v>2.7</v>
      </c>
      <c r="G29">
        <f t="shared" si="1"/>
        <v>0.7290000000000001</v>
      </c>
      <c r="H29" s="7">
        <f t="shared" si="2"/>
        <v>42.1631000578369</v>
      </c>
      <c r="I29" s="7">
        <f t="shared" si="3"/>
        <v>72.97297297297297</v>
      </c>
      <c r="K29">
        <f t="shared" si="8"/>
        <v>2.7</v>
      </c>
      <c r="L29">
        <f t="shared" si="4"/>
        <v>0.8909999999999999</v>
      </c>
      <c r="M29" s="7">
        <f t="shared" si="9"/>
        <v>47.11792702273929</v>
      </c>
      <c r="N29" s="7">
        <f t="shared" si="10"/>
        <v>72.97297297297297</v>
      </c>
    </row>
    <row r="30" spans="1:14" ht="15.75">
      <c r="A30">
        <v>3.2</v>
      </c>
      <c r="B30">
        <f t="shared" si="0"/>
        <v>0.96</v>
      </c>
      <c r="C30" s="7">
        <f t="shared" si="5"/>
        <v>48.97959183673469</v>
      </c>
      <c r="D30" s="7">
        <f t="shared" si="6"/>
        <v>76.19047619047619</v>
      </c>
      <c r="F30">
        <f t="shared" si="7"/>
        <v>3.2</v>
      </c>
      <c r="G30">
        <f t="shared" si="1"/>
        <v>0.8640000000000001</v>
      </c>
      <c r="H30" s="7">
        <f t="shared" si="2"/>
        <v>46.351931330472105</v>
      </c>
      <c r="I30" s="7">
        <f t="shared" si="3"/>
        <v>76.19047619047619</v>
      </c>
      <c r="K30">
        <f t="shared" si="8"/>
        <v>3.2</v>
      </c>
      <c r="L30">
        <f t="shared" si="4"/>
        <v>1.0559999999999998</v>
      </c>
      <c r="M30" s="7">
        <f t="shared" si="9"/>
        <v>51.361867704280144</v>
      </c>
      <c r="N30" s="7">
        <f t="shared" si="10"/>
        <v>76.19047619047619</v>
      </c>
    </row>
    <row r="31" spans="1:14" ht="15.75">
      <c r="A31">
        <v>3.7</v>
      </c>
      <c r="B31">
        <f t="shared" si="0"/>
        <v>1.11</v>
      </c>
      <c r="C31" s="7">
        <f t="shared" si="5"/>
        <v>52.60663507109005</v>
      </c>
      <c r="D31" s="7">
        <f t="shared" si="6"/>
        <v>78.72340425531915</v>
      </c>
      <c r="F31">
        <f t="shared" si="7"/>
        <v>3.7</v>
      </c>
      <c r="G31">
        <f t="shared" si="1"/>
        <v>0.9990000000000001</v>
      </c>
      <c r="H31" s="7">
        <f t="shared" si="2"/>
        <v>49.97498749374687</v>
      </c>
      <c r="I31" s="7">
        <f t="shared" si="3"/>
        <v>78.72340425531915</v>
      </c>
      <c r="K31">
        <f t="shared" si="8"/>
        <v>3.7</v>
      </c>
      <c r="L31">
        <f t="shared" si="4"/>
        <v>1.2209999999999999</v>
      </c>
      <c r="M31" s="7">
        <f t="shared" si="9"/>
        <v>54.975236380008994</v>
      </c>
      <c r="N31" s="7">
        <f t="shared" si="10"/>
        <v>78.72340425531915</v>
      </c>
    </row>
    <row r="32" spans="1:14" ht="15.75">
      <c r="A32">
        <v>4.2</v>
      </c>
      <c r="B32">
        <f t="shared" si="0"/>
        <v>1.26</v>
      </c>
      <c r="C32" s="7">
        <f t="shared" si="5"/>
        <v>55.75221238938054</v>
      </c>
      <c r="D32" s="7">
        <f t="shared" si="6"/>
        <v>80.76923076923076</v>
      </c>
      <c r="F32">
        <f t="shared" si="7"/>
        <v>4.2</v>
      </c>
      <c r="G32">
        <f t="shared" si="1"/>
        <v>1.1340000000000001</v>
      </c>
      <c r="H32" s="7">
        <f t="shared" si="2"/>
        <v>53.13964386129334</v>
      </c>
      <c r="I32" s="7">
        <f t="shared" si="3"/>
        <v>80.76923076923076</v>
      </c>
      <c r="K32">
        <f t="shared" si="8"/>
        <v>4.2</v>
      </c>
      <c r="L32">
        <f t="shared" si="4"/>
        <v>1.386</v>
      </c>
      <c r="M32" s="7">
        <f t="shared" si="9"/>
        <v>58.088851634534784</v>
      </c>
      <c r="N32" s="7">
        <f t="shared" si="10"/>
        <v>80.76923076923076</v>
      </c>
    </row>
    <row r="33" spans="1:14" ht="15.75">
      <c r="A33">
        <v>5.2</v>
      </c>
      <c r="B33">
        <f t="shared" si="0"/>
        <v>1.56</v>
      </c>
      <c r="C33" s="7">
        <f t="shared" si="5"/>
        <v>60.9375</v>
      </c>
      <c r="D33" s="7">
        <f t="shared" si="6"/>
        <v>83.87096774193549</v>
      </c>
      <c r="F33">
        <f t="shared" si="7"/>
        <v>5.2</v>
      </c>
      <c r="G33">
        <f t="shared" si="1"/>
        <v>1.4040000000000001</v>
      </c>
      <c r="H33" s="7">
        <f t="shared" si="2"/>
        <v>58.402662229617306</v>
      </c>
      <c r="I33" s="7">
        <f t="shared" si="3"/>
        <v>83.87096774193549</v>
      </c>
      <c r="K33">
        <f t="shared" si="8"/>
        <v>5.2</v>
      </c>
      <c r="L33">
        <f t="shared" si="4"/>
        <v>1.7159999999999997</v>
      </c>
      <c r="M33" s="7">
        <f t="shared" si="9"/>
        <v>63.18114874815905</v>
      </c>
      <c r="N33" s="7">
        <f t="shared" si="10"/>
        <v>83.87096774193549</v>
      </c>
    </row>
    <row r="34" spans="1:14" ht="15.75">
      <c r="A34">
        <v>6.2</v>
      </c>
      <c r="B34">
        <f t="shared" si="0"/>
        <v>1.8599999999999999</v>
      </c>
      <c r="C34" s="7">
        <f t="shared" si="5"/>
        <v>65.03496503496504</v>
      </c>
      <c r="D34" s="7">
        <f t="shared" si="6"/>
        <v>86.11111111111111</v>
      </c>
      <c r="F34">
        <f t="shared" si="7"/>
        <v>6.2</v>
      </c>
      <c r="G34">
        <f t="shared" si="1"/>
        <v>1.6740000000000002</v>
      </c>
      <c r="H34" s="7">
        <f t="shared" si="2"/>
        <v>62.60284218399401</v>
      </c>
      <c r="I34" s="7">
        <f t="shared" si="3"/>
        <v>86.11111111111111</v>
      </c>
      <c r="K34">
        <f t="shared" si="8"/>
        <v>6.2</v>
      </c>
      <c r="L34">
        <f t="shared" si="4"/>
        <v>2.046</v>
      </c>
      <c r="M34" s="7">
        <f t="shared" si="9"/>
        <v>67.17005909389363</v>
      </c>
      <c r="N34" s="7">
        <f t="shared" si="10"/>
        <v>86.11111111111111</v>
      </c>
    </row>
    <row r="35" spans="1:14" ht="15.75">
      <c r="A35">
        <v>7.2</v>
      </c>
      <c r="B35">
        <f t="shared" si="0"/>
        <v>2.16</v>
      </c>
      <c r="C35" s="7">
        <f t="shared" si="5"/>
        <v>68.35443037974683</v>
      </c>
      <c r="D35" s="7">
        <f t="shared" si="6"/>
        <v>87.8048780487805</v>
      </c>
      <c r="F35">
        <f t="shared" si="7"/>
        <v>7.2</v>
      </c>
      <c r="G35">
        <f t="shared" si="1"/>
        <v>1.9440000000000002</v>
      </c>
      <c r="H35" s="7">
        <f t="shared" si="2"/>
        <v>66.03260869565217</v>
      </c>
      <c r="I35" s="7">
        <f t="shared" si="3"/>
        <v>87.8048780487805</v>
      </c>
      <c r="K35">
        <f t="shared" si="8"/>
        <v>7.2</v>
      </c>
      <c r="L35">
        <f t="shared" si="4"/>
        <v>2.376</v>
      </c>
      <c r="M35" s="7">
        <f t="shared" si="9"/>
        <v>70.37914691943128</v>
      </c>
      <c r="N35" s="7">
        <f t="shared" si="10"/>
        <v>87.8048780487805</v>
      </c>
    </row>
    <row r="36" spans="1:14" ht="15.75">
      <c r="A36">
        <v>10</v>
      </c>
      <c r="B36">
        <f t="shared" si="0"/>
        <v>3</v>
      </c>
      <c r="C36" s="7">
        <f t="shared" si="5"/>
        <v>75</v>
      </c>
      <c r="D36" s="7">
        <f t="shared" si="6"/>
        <v>90.9090909090909</v>
      </c>
      <c r="F36">
        <f t="shared" si="7"/>
        <v>10</v>
      </c>
      <c r="G36">
        <f t="shared" si="1"/>
        <v>2.7</v>
      </c>
      <c r="H36" s="7">
        <f t="shared" si="2"/>
        <v>72.97297297297297</v>
      </c>
      <c r="I36" s="7">
        <f t="shared" si="3"/>
        <v>90.9090909090909</v>
      </c>
      <c r="K36">
        <f t="shared" si="8"/>
        <v>10</v>
      </c>
      <c r="L36">
        <f t="shared" si="4"/>
        <v>3.3</v>
      </c>
      <c r="M36" s="7">
        <f t="shared" si="9"/>
        <v>76.74418604651163</v>
      </c>
      <c r="N36" s="7">
        <f t="shared" si="10"/>
        <v>90.9090909090909</v>
      </c>
    </row>
    <row r="37" spans="1:14" ht="15.75">
      <c r="A37">
        <v>20</v>
      </c>
      <c r="B37">
        <f t="shared" si="0"/>
        <v>6</v>
      </c>
      <c r="C37" s="7">
        <f t="shared" si="5"/>
        <v>85.71428571428571</v>
      </c>
      <c r="D37" s="7">
        <f t="shared" si="6"/>
        <v>95.23809523809524</v>
      </c>
      <c r="F37">
        <f t="shared" si="7"/>
        <v>20</v>
      </c>
      <c r="G37">
        <f t="shared" si="1"/>
        <v>5.4</v>
      </c>
      <c r="H37" s="7">
        <f t="shared" si="2"/>
        <v>84.375</v>
      </c>
      <c r="I37" s="7">
        <f t="shared" si="3"/>
        <v>95.23809523809524</v>
      </c>
      <c r="K37">
        <f t="shared" si="8"/>
        <v>20</v>
      </c>
      <c r="L37">
        <f t="shared" si="4"/>
        <v>6.6</v>
      </c>
      <c r="M37" s="7">
        <f t="shared" si="9"/>
        <v>86.8421052631579</v>
      </c>
      <c r="N37" s="7">
        <f t="shared" si="10"/>
        <v>95.23809523809524</v>
      </c>
    </row>
    <row r="38" spans="1:14" ht="15.75">
      <c r="A38">
        <v>40</v>
      </c>
      <c r="B38">
        <f t="shared" si="0"/>
        <v>12</v>
      </c>
      <c r="C38" s="7">
        <f t="shared" si="5"/>
        <v>92.3076923076923</v>
      </c>
      <c r="D38" s="7">
        <f t="shared" si="6"/>
        <v>97.5609756097561</v>
      </c>
      <c r="F38">
        <f t="shared" si="7"/>
        <v>40</v>
      </c>
      <c r="G38">
        <f t="shared" si="1"/>
        <v>10.8</v>
      </c>
      <c r="H38" s="7">
        <f t="shared" si="2"/>
        <v>91.52542372881355</v>
      </c>
      <c r="I38" s="7">
        <f t="shared" si="3"/>
        <v>97.5609756097561</v>
      </c>
      <c r="K38">
        <f t="shared" si="8"/>
        <v>40</v>
      </c>
      <c r="L38">
        <f t="shared" si="4"/>
        <v>13.2</v>
      </c>
      <c r="M38" s="7">
        <f t="shared" si="9"/>
        <v>92.95774647887325</v>
      </c>
      <c r="N38" s="7">
        <f t="shared" si="10"/>
        <v>97.5609756097561</v>
      </c>
    </row>
    <row r="39" spans="1:14" ht="15.75">
      <c r="A39">
        <v>80</v>
      </c>
      <c r="B39">
        <f t="shared" si="0"/>
        <v>24</v>
      </c>
      <c r="C39" s="7">
        <f t="shared" si="5"/>
        <v>96</v>
      </c>
      <c r="D39" s="7">
        <f t="shared" si="6"/>
        <v>98.76543209876543</v>
      </c>
      <c r="F39">
        <f t="shared" si="7"/>
        <v>80</v>
      </c>
      <c r="G39">
        <f t="shared" si="1"/>
        <v>21.6</v>
      </c>
      <c r="H39" s="7">
        <f t="shared" si="2"/>
        <v>95.57522123893804</v>
      </c>
      <c r="I39" s="7">
        <f t="shared" si="3"/>
        <v>98.76543209876543</v>
      </c>
      <c r="K39">
        <f t="shared" si="8"/>
        <v>80</v>
      </c>
      <c r="L39">
        <f t="shared" si="4"/>
        <v>26.4</v>
      </c>
      <c r="M39" s="7">
        <f t="shared" si="9"/>
        <v>96.35036496350365</v>
      </c>
      <c r="N39" s="7">
        <f t="shared" si="10"/>
        <v>98.76543209876543</v>
      </c>
    </row>
    <row r="40" spans="1:14" ht="15.75">
      <c r="A40">
        <v>200</v>
      </c>
      <c r="B40">
        <f t="shared" si="0"/>
        <v>60</v>
      </c>
      <c r="C40" s="7">
        <f t="shared" si="5"/>
        <v>98.36065573770492</v>
      </c>
      <c r="D40" s="7">
        <f t="shared" si="6"/>
        <v>99.50248756218906</v>
      </c>
      <c r="F40">
        <f t="shared" si="7"/>
        <v>200</v>
      </c>
      <c r="G40">
        <f t="shared" si="1"/>
        <v>54</v>
      </c>
      <c r="H40" s="7">
        <f t="shared" si="2"/>
        <v>98.18181818181819</v>
      </c>
      <c r="I40" s="7">
        <f t="shared" si="3"/>
        <v>99.50248756218906</v>
      </c>
      <c r="K40">
        <f t="shared" si="8"/>
        <v>200</v>
      </c>
      <c r="L40">
        <f t="shared" si="4"/>
        <v>65.99999999999999</v>
      </c>
      <c r="M40" s="7">
        <f t="shared" si="9"/>
        <v>98.50746268656715</v>
      </c>
      <c r="N40" s="7">
        <f t="shared" si="10"/>
        <v>99.50248756218906</v>
      </c>
    </row>
    <row r="41" spans="1:14" ht="15.75">
      <c r="A41">
        <v>1000</v>
      </c>
      <c r="B41">
        <f t="shared" si="0"/>
        <v>300</v>
      </c>
      <c r="C41" s="7">
        <f t="shared" si="5"/>
        <v>99.66777408637874</v>
      </c>
      <c r="D41" s="7">
        <f t="shared" si="6"/>
        <v>99.9000999000999</v>
      </c>
      <c r="F41">
        <f t="shared" si="7"/>
        <v>1000</v>
      </c>
      <c r="G41">
        <f t="shared" si="1"/>
        <v>270</v>
      </c>
      <c r="H41" s="7">
        <f>100*G41/(G41+1)</f>
        <v>99.6309963099631</v>
      </c>
      <c r="I41" s="7">
        <f t="shared" si="3"/>
        <v>99.9000999000999</v>
      </c>
      <c r="K41">
        <f t="shared" si="8"/>
        <v>1000</v>
      </c>
      <c r="L41">
        <f t="shared" si="4"/>
        <v>329.99999999999994</v>
      </c>
      <c r="M41" s="7">
        <f t="shared" si="9"/>
        <v>99.69788519637461</v>
      </c>
      <c r="N41" s="7">
        <f t="shared" si="10"/>
        <v>99.9000999000999</v>
      </c>
    </row>
    <row r="141" spans="1:72" s="2" customFormat="1" ht="15.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2" customFormat="1" ht="15.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2" customFormat="1" ht="15.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2" customFormat="1" ht="15.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K134"/>
  <sheetViews>
    <sheetView workbookViewId="0" topLeftCell="A2">
      <selection activeCell="A32" sqref="A32"/>
    </sheetView>
  </sheetViews>
  <sheetFormatPr defaultColWidth="11.19921875" defaultRowHeight="15"/>
  <cols>
    <col min="1" max="1" width="22.3984375" style="0" customWidth="1"/>
    <col min="2" max="2" width="17.59765625" style="0" customWidth="1"/>
    <col min="3" max="3" width="13.8984375" style="0" customWidth="1"/>
    <col min="4" max="4" width="13" style="0" customWidth="1"/>
    <col min="5" max="5" width="5.69921875" style="0" customWidth="1"/>
    <col min="6" max="6" width="8.59765625" style="0" customWidth="1"/>
    <col min="7" max="7" width="7.5" style="0" customWidth="1"/>
    <col min="8" max="8" width="10.5" style="0" customWidth="1"/>
    <col min="9" max="9" width="7.5" style="0" customWidth="1"/>
    <col min="10" max="10" width="6.5" style="0" customWidth="1"/>
    <col min="11" max="11" width="7.3984375" style="0" customWidth="1"/>
  </cols>
  <sheetData>
    <row r="1" ht="19.5">
      <c r="A1" s="54" t="s">
        <v>31</v>
      </c>
    </row>
    <row r="2" ht="19.5">
      <c r="A2" s="54" t="s">
        <v>30</v>
      </c>
    </row>
    <row r="3" ht="19.5">
      <c r="A3" s="54"/>
    </row>
    <row r="4" ht="16.5" thickBot="1"/>
    <row r="5" spans="1:8" ht="18">
      <c r="A5" s="84" t="s">
        <v>23</v>
      </c>
      <c r="B5" s="75"/>
      <c r="H5" s="55"/>
    </row>
    <row r="6" spans="1:8" ht="15.75">
      <c r="A6" s="76" t="s">
        <v>19</v>
      </c>
      <c r="B6" s="77"/>
      <c r="H6" s="55"/>
    </row>
    <row r="7" spans="1:8" ht="15.75">
      <c r="A7" s="78" t="s">
        <v>24</v>
      </c>
      <c r="B7" s="77"/>
      <c r="H7" s="55"/>
    </row>
    <row r="8" spans="1:8" ht="18">
      <c r="A8" s="76" t="s">
        <v>25</v>
      </c>
      <c r="B8" s="79">
        <v>9</v>
      </c>
      <c r="H8" s="55"/>
    </row>
    <row r="9" spans="1:8" ht="18">
      <c r="A9" s="76" t="s">
        <v>26</v>
      </c>
      <c r="B9" s="79">
        <v>1.6</v>
      </c>
      <c r="H9" s="55"/>
    </row>
    <row r="10" spans="1:8" ht="18">
      <c r="A10" s="76" t="s">
        <v>27</v>
      </c>
      <c r="B10" s="79">
        <v>0.27</v>
      </c>
      <c r="H10" s="55"/>
    </row>
    <row r="11" spans="1:8" ht="18.75">
      <c r="A11" s="76" t="s">
        <v>218</v>
      </c>
      <c r="B11" s="79">
        <v>0.34</v>
      </c>
      <c r="H11" s="55"/>
    </row>
    <row r="12" spans="2:8" ht="15.75">
      <c r="B12" s="77"/>
      <c r="H12" s="55"/>
    </row>
    <row r="13" spans="1:8" ht="15.75">
      <c r="A13" s="78" t="s">
        <v>28</v>
      </c>
      <c r="B13" s="77"/>
      <c r="H13" s="55"/>
    </row>
    <row r="14" spans="1:2" ht="16.5" thickBot="1">
      <c r="A14" s="80" t="s">
        <v>29</v>
      </c>
      <c r="B14" s="81">
        <v>30</v>
      </c>
    </row>
    <row r="15" ht="16.5" thickBot="1"/>
    <row r="16" spans="1:9" ht="18">
      <c r="A16" s="84" t="s">
        <v>222</v>
      </c>
      <c r="B16" s="85"/>
      <c r="C16" s="86"/>
      <c r="I16" s="55"/>
    </row>
    <row r="17" spans="1:9" ht="18">
      <c r="A17" s="87" t="s">
        <v>207</v>
      </c>
      <c r="B17" s="82"/>
      <c r="C17" s="88">
        <v>1605</v>
      </c>
      <c r="I17" s="55"/>
    </row>
    <row r="18" spans="1:9" ht="16.5" thickBot="1">
      <c r="A18" s="89" t="s">
        <v>223</v>
      </c>
      <c r="B18" s="90"/>
      <c r="C18" s="91">
        <v>30</v>
      </c>
      <c r="I18" s="55"/>
    </row>
    <row r="19" spans="1:9" ht="18">
      <c r="A19" s="118" t="s">
        <v>224</v>
      </c>
      <c r="B19" s="92"/>
      <c r="C19" s="93"/>
      <c r="I19" s="55"/>
    </row>
    <row r="20" spans="1:9" ht="18.75">
      <c r="A20" s="94" t="s">
        <v>208</v>
      </c>
      <c r="B20" s="95"/>
      <c r="C20" s="96">
        <f>C17+C27-C18*C32</f>
        <v>1713.7045155925157</v>
      </c>
      <c r="I20" s="55"/>
    </row>
    <row r="21" ht="15.75">
      <c r="I21" s="55"/>
    </row>
    <row r="22" spans="2:8" ht="15.75">
      <c r="B22" s="82"/>
      <c r="C22" s="82"/>
      <c r="E22" s="83"/>
      <c r="F22" s="82"/>
      <c r="G22" s="83"/>
      <c r="H22" s="55"/>
    </row>
    <row r="23" spans="1:32" ht="18">
      <c r="A23" s="100" t="s">
        <v>209</v>
      </c>
      <c r="B23" s="97"/>
      <c r="C23" s="98"/>
      <c r="D23" s="83" t="s">
        <v>210</v>
      </c>
      <c r="F23" s="82"/>
      <c r="G23" s="82"/>
      <c r="H23" s="82"/>
      <c r="I23" s="64"/>
      <c r="J23" s="64"/>
      <c r="AF23" t="e">
        <f>1545-#REF!</f>
        <v>#REF!</v>
      </c>
    </row>
    <row r="24" spans="1:32" ht="15.75">
      <c r="A24" s="99" t="s">
        <v>212</v>
      </c>
      <c r="B24" s="64"/>
      <c r="C24" s="134">
        <v>130000</v>
      </c>
      <c r="D24" s="82" t="s">
        <v>220</v>
      </c>
      <c r="F24" s="82"/>
      <c r="G24" s="82"/>
      <c r="H24" s="82"/>
      <c r="I24" s="64"/>
      <c r="J24" s="64"/>
      <c r="AF24" t="e">
        <f>AF23+273</f>
        <v>#REF!</v>
      </c>
    </row>
    <row r="25" spans="1:10" ht="15.75">
      <c r="A25" s="99" t="s">
        <v>213</v>
      </c>
      <c r="B25" s="64"/>
      <c r="C25" s="134">
        <f>0.6*190+0.2*128+0.2*264</f>
        <v>192.4</v>
      </c>
      <c r="D25" s="82" t="s">
        <v>221</v>
      </c>
      <c r="F25" s="67"/>
      <c r="G25" s="67"/>
      <c r="H25" s="67"/>
      <c r="I25" s="67"/>
      <c r="J25" s="67"/>
    </row>
    <row r="26" spans="1:10" ht="15.75">
      <c r="A26" s="99" t="s">
        <v>225</v>
      </c>
      <c r="B26" s="64"/>
      <c r="C26" s="134">
        <v>0.22</v>
      </c>
      <c r="E26" s="71"/>
      <c r="F26" s="71"/>
      <c r="G26" s="71"/>
      <c r="H26" s="71"/>
      <c r="I26" s="71"/>
      <c r="J26" s="71"/>
    </row>
    <row r="27" spans="1:10" ht="15.75">
      <c r="A27" s="99" t="s">
        <v>226</v>
      </c>
      <c r="B27" s="64"/>
      <c r="C27" s="134">
        <f>C26*C24/C25</f>
        <v>148.64864864864865</v>
      </c>
      <c r="E27" s="71"/>
      <c r="F27" s="71"/>
      <c r="G27" s="71"/>
      <c r="H27" s="71"/>
      <c r="I27" s="71"/>
      <c r="J27" s="71"/>
    </row>
    <row r="28" spans="1:3" ht="15.75">
      <c r="A28" s="101" t="s">
        <v>214</v>
      </c>
      <c r="B28" s="64"/>
      <c r="C28" s="134">
        <f>(0.2*6.609+0.2*3.128+0.6*4.365)</f>
        <v>4.5664</v>
      </c>
    </row>
    <row r="29" spans="1:3" ht="15.75">
      <c r="A29" s="101" t="s">
        <v>215</v>
      </c>
      <c r="B29" s="64"/>
      <c r="C29" s="134">
        <f>3.3*10^-5</f>
        <v>3.3E-05</v>
      </c>
    </row>
    <row r="30" spans="1:3" ht="15.75">
      <c r="A30" s="101" t="s">
        <v>211</v>
      </c>
      <c r="B30" s="64"/>
      <c r="C30" s="134">
        <v>1700</v>
      </c>
    </row>
    <row r="31" spans="1:3" ht="15.75">
      <c r="A31" s="101" t="s">
        <v>216</v>
      </c>
      <c r="B31" s="64"/>
      <c r="C31" s="134">
        <f>C28*C29*C30/C25</f>
        <v>0.001331471101871102</v>
      </c>
    </row>
    <row r="32" spans="1:3" ht="15.75">
      <c r="A32" s="102" t="s">
        <v>167</v>
      </c>
      <c r="B32" s="5"/>
      <c r="C32" s="103">
        <f>C31*1000</f>
        <v>1.3314711018711018</v>
      </c>
    </row>
    <row r="34" spans="1:3" ht="15.75">
      <c r="A34" s="114" t="s">
        <v>219</v>
      </c>
      <c r="B34" s="2"/>
      <c r="C34" s="3"/>
    </row>
    <row r="35" spans="1:3" ht="15.75">
      <c r="A35" s="63"/>
      <c r="B35" s="64" t="s">
        <v>198</v>
      </c>
      <c r="C35" s="65" t="s">
        <v>199</v>
      </c>
    </row>
    <row r="36" spans="1:3" ht="15.75">
      <c r="A36" s="115" t="s">
        <v>200</v>
      </c>
      <c r="B36" s="116">
        <v>-2.761268</v>
      </c>
      <c r="C36" s="117">
        <v>-2.147161</v>
      </c>
    </row>
    <row r="37" spans="1:3" ht="15.75">
      <c r="A37" s="115" t="s">
        <v>202</v>
      </c>
      <c r="B37" s="116">
        <v>5211.7036</v>
      </c>
      <c r="C37" s="117">
        <v>2607.0205</v>
      </c>
    </row>
    <row r="38" spans="1:3" ht="15.75">
      <c r="A38" s="115" t="s">
        <v>201</v>
      </c>
      <c r="B38" s="116">
        <v>0</v>
      </c>
      <c r="C38" s="117">
        <v>0.0226806</v>
      </c>
    </row>
    <row r="39" spans="1:3" ht="15.75">
      <c r="A39" s="115" t="s">
        <v>5</v>
      </c>
      <c r="B39" s="116">
        <v>0.0432331</v>
      </c>
      <c r="C39" s="117">
        <v>0.0311751</v>
      </c>
    </row>
    <row r="40" spans="1:3" ht="15.75">
      <c r="A40" s="115" t="s">
        <v>6</v>
      </c>
      <c r="B40" s="116">
        <v>0</v>
      </c>
      <c r="C40" s="117">
        <v>0</v>
      </c>
    </row>
    <row r="41" spans="1:3" ht="15.75">
      <c r="A41" s="115" t="s">
        <v>7</v>
      </c>
      <c r="B41" s="116">
        <v>10.702058</v>
      </c>
      <c r="C41" s="117">
        <v>0</v>
      </c>
    </row>
    <row r="42" spans="1:3" ht="15.75">
      <c r="A42" s="115"/>
      <c r="B42" s="116"/>
      <c r="C42" s="117"/>
    </row>
    <row r="43" spans="1:3" ht="15.75">
      <c r="A43" s="66" t="s">
        <v>54</v>
      </c>
      <c r="B43" s="67" t="s">
        <v>8</v>
      </c>
      <c r="C43" s="68">
        <f>B37</f>
        <v>5211.7036</v>
      </c>
    </row>
    <row r="44" spans="1:3" ht="15.75">
      <c r="A44" s="66" t="s">
        <v>55</v>
      </c>
      <c r="B44" s="67" t="s">
        <v>10</v>
      </c>
      <c r="C44" s="68">
        <f>C37</f>
        <v>2607.0205</v>
      </c>
    </row>
    <row r="45" spans="1:3" ht="15.75">
      <c r="A45" s="63" t="s">
        <v>54</v>
      </c>
      <c r="B45" s="67" t="s">
        <v>9</v>
      </c>
      <c r="C45" s="68">
        <f>B36+B38*B8+B39*B9+B40*B10</f>
        <v>-2.69209504</v>
      </c>
    </row>
    <row r="46" spans="1:3" ht="15.75">
      <c r="A46" s="4" t="s">
        <v>55</v>
      </c>
      <c r="B46" s="69" t="s">
        <v>172</v>
      </c>
      <c r="C46" s="70">
        <f>C36+C38*B8+C39*B9+C40*B10</f>
        <v>-1.8931554400000001</v>
      </c>
    </row>
    <row r="48" ht="19.5">
      <c r="A48" s="54" t="s">
        <v>18</v>
      </c>
    </row>
    <row r="49" spans="3:87" s="55" customFormat="1" ht="18">
      <c r="C49" s="104" t="s">
        <v>217</v>
      </c>
      <c r="I49" s="104" t="s">
        <v>217</v>
      </c>
      <c r="O49" s="104" t="s">
        <v>217</v>
      </c>
      <c r="U49" s="104" t="s">
        <v>217</v>
      </c>
      <c r="AA49" s="104" t="s">
        <v>217</v>
      </c>
      <c r="AG49" s="104" t="s">
        <v>217</v>
      </c>
      <c r="AM49" s="104" t="s">
        <v>217</v>
      </c>
      <c r="AS49" s="104" t="s">
        <v>217</v>
      </c>
      <c r="AY49" s="104" t="s">
        <v>217</v>
      </c>
      <c r="BE49" s="104" t="s">
        <v>217</v>
      </c>
      <c r="BK49" s="104" t="s">
        <v>217</v>
      </c>
      <c r="BQ49" s="104" t="s">
        <v>217</v>
      </c>
      <c r="BW49" s="104" t="s">
        <v>217</v>
      </c>
      <c r="CC49" s="104" t="s">
        <v>217</v>
      </c>
      <c r="CI49" s="104" t="s">
        <v>217</v>
      </c>
    </row>
    <row r="50" spans="1:88" s="111" customFormat="1" ht="15.75">
      <c r="A50" s="100"/>
      <c r="B50" s="97"/>
      <c r="C50" s="105">
        <v>2000</v>
      </c>
      <c r="D50" s="106"/>
      <c r="E50" s="107"/>
      <c r="F50" s="107"/>
      <c r="G50" s="108"/>
      <c r="H50" s="109"/>
      <c r="I50" s="110">
        <f>C50-100</f>
        <v>1900</v>
      </c>
      <c r="J50" s="106"/>
      <c r="M50" s="108"/>
      <c r="N50" s="109"/>
      <c r="O50" s="110">
        <f>I50-100</f>
        <v>1800</v>
      </c>
      <c r="P50" s="106"/>
      <c r="S50" s="108"/>
      <c r="T50" s="109"/>
      <c r="U50" s="110">
        <f>O50-100</f>
        <v>1700</v>
      </c>
      <c r="V50" s="106"/>
      <c r="Y50" s="108"/>
      <c r="Z50" s="109"/>
      <c r="AA50" s="110">
        <f>U50-100</f>
        <v>1600</v>
      </c>
      <c r="AB50" s="106"/>
      <c r="AE50" s="108"/>
      <c r="AF50" s="109"/>
      <c r="AG50" s="110">
        <f>AA50-100</f>
        <v>1500</v>
      </c>
      <c r="AH50" s="106"/>
      <c r="AK50" s="108"/>
      <c r="AL50" s="109"/>
      <c r="AM50" s="110">
        <f>AG50-100</f>
        <v>1400</v>
      </c>
      <c r="AN50" s="106"/>
      <c r="AQ50" s="108"/>
      <c r="AR50" s="109"/>
      <c r="AS50" s="110">
        <f>AM50-100</f>
        <v>1300</v>
      </c>
      <c r="AT50" s="106"/>
      <c r="AW50" s="108"/>
      <c r="AX50" s="109"/>
      <c r="AY50" s="110">
        <v>1200</v>
      </c>
      <c r="AZ50" s="106"/>
      <c r="BC50" s="108"/>
      <c r="BD50" s="109"/>
      <c r="BE50" s="110">
        <v>1100</v>
      </c>
      <c r="BF50" s="106"/>
      <c r="BI50" s="108"/>
      <c r="BJ50" s="109"/>
      <c r="BK50" s="110">
        <v>1000</v>
      </c>
      <c r="BL50" s="106"/>
      <c r="BO50" s="108"/>
      <c r="BP50" s="109"/>
      <c r="BQ50" s="110">
        <v>900</v>
      </c>
      <c r="BR50" s="106"/>
      <c r="BU50" s="108"/>
      <c r="BV50" s="109"/>
      <c r="BW50" s="110">
        <v>800</v>
      </c>
      <c r="BX50" s="106"/>
      <c r="CA50" s="108"/>
      <c r="CB50" s="109"/>
      <c r="CC50" s="112">
        <v>700</v>
      </c>
      <c r="CD50" s="106"/>
      <c r="CG50" s="108"/>
      <c r="CH50" s="109"/>
      <c r="CI50" s="113">
        <v>600</v>
      </c>
      <c r="CJ50" s="106"/>
    </row>
    <row r="51" spans="1:89" ht="15.75">
      <c r="A51" s="4" t="s">
        <v>173</v>
      </c>
      <c r="B51" s="5" t="s">
        <v>174</v>
      </c>
      <c r="C51" s="72" t="s">
        <v>175</v>
      </c>
      <c r="D51" s="73" t="s">
        <v>176</v>
      </c>
      <c r="E51" s="72" t="s">
        <v>175</v>
      </c>
      <c r="F51" s="74"/>
      <c r="G51" s="4" t="s">
        <v>173</v>
      </c>
      <c r="H51" s="5" t="s">
        <v>174</v>
      </c>
      <c r="I51" s="72" t="s">
        <v>175</v>
      </c>
      <c r="J51" s="73" t="s">
        <v>176</v>
      </c>
      <c r="K51" s="72" t="s">
        <v>175</v>
      </c>
      <c r="M51" s="4" t="s">
        <v>173</v>
      </c>
      <c r="N51" s="5" t="s">
        <v>174</v>
      </c>
      <c r="O51" s="72" t="s">
        <v>175</v>
      </c>
      <c r="P51" s="73" t="s">
        <v>176</v>
      </c>
      <c r="Q51" s="72" t="s">
        <v>175</v>
      </c>
      <c r="S51" s="4" t="s">
        <v>173</v>
      </c>
      <c r="T51" s="5" t="s">
        <v>174</v>
      </c>
      <c r="U51" s="72" t="s">
        <v>175</v>
      </c>
      <c r="V51" s="73" t="s">
        <v>176</v>
      </c>
      <c r="W51" s="72" t="s">
        <v>175</v>
      </c>
      <c r="Y51" s="4" t="s">
        <v>173</v>
      </c>
      <c r="Z51" s="5" t="s">
        <v>174</v>
      </c>
      <c r="AA51" s="72" t="s">
        <v>175</v>
      </c>
      <c r="AB51" s="73" t="s">
        <v>176</v>
      </c>
      <c r="AC51" s="72" t="s">
        <v>175</v>
      </c>
      <c r="AE51" s="4" t="s">
        <v>173</v>
      </c>
      <c r="AF51" s="5" t="s">
        <v>174</v>
      </c>
      <c r="AG51" s="72" t="s">
        <v>175</v>
      </c>
      <c r="AH51" s="73" t="s">
        <v>176</v>
      </c>
      <c r="AI51" s="72" t="s">
        <v>175</v>
      </c>
      <c r="AK51" s="4" t="s">
        <v>173</v>
      </c>
      <c r="AL51" s="5" t="s">
        <v>174</v>
      </c>
      <c r="AM51" s="72" t="s">
        <v>175</v>
      </c>
      <c r="AN51" s="73" t="s">
        <v>176</v>
      </c>
      <c r="AO51" s="72" t="s">
        <v>175</v>
      </c>
      <c r="AQ51" s="4" t="s">
        <v>173</v>
      </c>
      <c r="AR51" s="5" t="s">
        <v>174</v>
      </c>
      <c r="AS51" s="72" t="s">
        <v>175</v>
      </c>
      <c r="AT51" s="73" t="s">
        <v>176</v>
      </c>
      <c r="AU51" s="72" t="s">
        <v>175</v>
      </c>
      <c r="AW51" s="4" t="s">
        <v>173</v>
      </c>
      <c r="AX51" s="5" t="s">
        <v>174</v>
      </c>
      <c r="AY51" s="72" t="s">
        <v>175</v>
      </c>
      <c r="AZ51" s="73" t="s">
        <v>176</v>
      </c>
      <c r="BA51" s="72" t="s">
        <v>175</v>
      </c>
      <c r="BC51" s="4" t="s">
        <v>173</v>
      </c>
      <c r="BD51" s="5" t="s">
        <v>174</v>
      </c>
      <c r="BE51" s="72" t="s">
        <v>175</v>
      </c>
      <c r="BF51" s="73" t="s">
        <v>176</v>
      </c>
      <c r="BG51" s="72" t="s">
        <v>175</v>
      </c>
      <c r="BI51" s="4" t="s">
        <v>173</v>
      </c>
      <c r="BJ51" s="5" t="s">
        <v>174</v>
      </c>
      <c r="BK51" s="72" t="s">
        <v>175</v>
      </c>
      <c r="BL51" s="73" t="s">
        <v>176</v>
      </c>
      <c r="BM51" s="72" t="s">
        <v>175</v>
      </c>
      <c r="BO51" s="4" t="s">
        <v>173</v>
      </c>
      <c r="BP51" s="5" t="s">
        <v>174</v>
      </c>
      <c r="BQ51" s="72" t="s">
        <v>175</v>
      </c>
      <c r="BR51" s="73" t="s">
        <v>176</v>
      </c>
      <c r="BS51" s="72" t="s">
        <v>175</v>
      </c>
      <c r="BU51" s="4" t="s">
        <v>173</v>
      </c>
      <c r="BV51" s="5" t="s">
        <v>174</v>
      </c>
      <c r="BW51" s="72" t="s">
        <v>175</v>
      </c>
      <c r="BX51" s="73" t="s">
        <v>176</v>
      </c>
      <c r="BY51" s="72" t="s">
        <v>175</v>
      </c>
      <c r="CA51" s="4" t="s">
        <v>173</v>
      </c>
      <c r="CB51" s="5" t="s">
        <v>174</v>
      </c>
      <c r="CC51" s="72" t="s">
        <v>175</v>
      </c>
      <c r="CD51" s="73" t="s">
        <v>176</v>
      </c>
      <c r="CE51" s="72" t="s">
        <v>175</v>
      </c>
      <c r="CG51" s="4" t="s">
        <v>173</v>
      </c>
      <c r="CH51" s="5" t="s">
        <v>174</v>
      </c>
      <c r="CI51" s="72" t="s">
        <v>175</v>
      </c>
      <c r="CJ51" s="73" t="s">
        <v>176</v>
      </c>
      <c r="CK51" s="72" t="s">
        <v>175</v>
      </c>
    </row>
    <row r="52" spans="1:89" ht="15.75">
      <c r="A52">
        <f aca="true" t="shared" si="0" ref="A52:A72">EXP($C$45+$C$43/C$50+$B$41*$B$14/C$50)</f>
        <v>1.0771165719846167</v>
      </c>
      <c r="B52">
        <f aca="true" t="shared" si="1" ref="B52:B72">EXP($C$46+$C$44/C$50+$C$41*$B$14/C$50)</f>
        <v>0.5545240004946993</v>
      </c>
      <c r="C52">
        <f>(0.6667-D52*B52)/A52</f>
        <v>0.6189673590961348</v>
      </c>
      <c r="D52">
        <v>0</v>
      </c>
      <c r="E52">
        <f>C52</f>
        <v>0.6189673590961348</v>
      </c>
      <c r="G52">
        <f aca="true" t="shared" si="2" ref="G52:G72">EXP($C$45+$C$43/I$50+$B$41*$B$14/I$50)</f>
        <v>1.2459355803870673</v>
      </c>
      <c r="H52">
        <f aca="true" t="shared" si="3" ref="H52:H72">EXP($C$46+$C$44/I$50+$C$41*$B$14/I$50)</f>
        <v>0.5939029318491669</v>
      </c>
      <c r="I52">
        <f>(0.6667-J52*H52)/G52</f>
        <v>0.5350998964110811</v>
      </c>
      <c r="J52">
        <v>0</v>
      </c>
      <c r="K52">
        <f>I52</f>
        <v>0.5350998964110811</v>
      </c>
      <c r="M52">
        <f aca="true" t="shared" si="4" ref="M52:M72">EXP($C$45+$C$43/O$50+$B$41*$B$14/O$50)</f>
        <v>1.4647190981721883</v>
      </c>
      <c r="N52">
        <f aca="true" t="shared" si="5" ref="N52:N72">EXP($C$46+$C$44/O$50+$C$41*$B$14/O$50)</f>
        <v>0.6409455841557135</v>
      </c>
      <c r="O52">
        <f>(0.6667-P52*N52)/M52</f>
        <v>0.4551725998739074</v>
      </c>
      <c r="P52">
        <v>0</v>
      </c>
      <c r="Q52">
        <f>O52</f>
        <v>0.4551725998739074</v>
      </c>
      <c r="S52">
        <f aca="true" t="shared" si="6" ref="S52:S72">EXP($C$45+$C$43/U$50+$B$41*$B$14/U$50)</f>
        <v>1.7550069325111373</v>
      </c>
      <c r="T52">
        <f aca="true" t="shared" si="7" ref="T52:T72">EXP($C$46+$C$44/U$50+$C$41*$B$14/U$50)</f>
        <v>0.6979457024640006</v>
      </c>
      <c r="U52">
        <f>(0.6667-V52*T52)/S52</f>
        <v>0.3798845392855843</v>
      </c>
      <c r="V52">
        <v>0</v>
      </c>
      <c r="W52">
        <f>U52</f>
        <v>0.3798845392855843</v>
      </c>
      <c r="Y52">
        <f aca="true" t="shared" si="8" ref="Y52:Y72">EXP($C$45+$C$43/AA$50+$B$41*$B$14/AA$50)</f>
        <v>2.1508934145990133</v>
      </c>
      <c r="Z52">
        <f aca="true" t="shared" si="9" ref="Z52:Z72">EXP($C$46+$C$44/AA$50+$C$41*$B$14/AA$50)</f>
        <v>0.7681520163237816</v>
      </c>
      <c r="AA52">
        <f>(0.6667-AB52*Z52)/Y52</f>
        <v>0.3099642202048824</v>
      </c>
      <c r="AB52">
        <v>0</v>
      </c>
      <c r="AC52">
        <f>AA52</f>
        <v>0.3099642202048824</v>
      </c>
      <c r="AE52">
        <f aca="true" t="shared" si="10" ref="AE52:AE72">EXP($C$45+$C$43/AG$50+$B$41*$B$14/AG$50)</f>
        <v>2.7085547408301465</v>
      </c>
      <c r="AF52">
        <f aca="true" t="shared" si="11" ref="AF52:AF72">EXP($C$46+$C$44/AG$50+$C$41*$B$14/AG$50)</f>
        <v>0.8562937692556124</v>
      </c>
      <c r="AG52">
        <f>(0.6667-AH52*AF52)/AE52</f>
        <v>0.24614603129477927</v>
      </c>
      <c r="AH52">
        <v>0</v>
      </c>
      <c r="AI52">
        <f>AG52</f>
        <v>0.24614603129477927</v>
      </c>
      <c r="AK52">
        <f aca="true" t="shared" si="12" ref="AK52:AK72">EXP($C$45+$C$43/AM$50+$B$41*$B$14/AM$50)</f>
        <v>3.5249991772401073</v>
      </c>
      <c r="AL52">
        <f aca="true" t="shared" si="13" ref="AL52:AL72">EXP($C$46+$C$44/AM$50+$C$41*$B$14/AM$50)</f>
        <v>0.9694775701977635</v>
      </c>
      <c r="AM52">
        <f>(0.6667-AN52*AL52)/AK52</f>
        <v>0.18913479591844662</v>
      </c>
      <c r="AN52">
        <v>0</v>
      </c>
      <c r="AO52">
        <f>AM52</f>
        <v>0.18913479591844662</v>
      </c>
      <c r="AQ52">
        <f aca="true" t="shared" si="14" ref="AQ52:AQ72">EXP($C$45+$C$43/AS$50+$B$41*$B$14/AS$50)</f>
        <v>4.777313209752131</v>
      </c>
      <c r="AR52">
        <f aca="true" t="shared" si="15" ref="AR52:AR72">EXP($C$46+$C$44/AS$50+$C$41*$B$14/AS$50)</f>
        <v>1.11878686790443</v>
      </c>
      <c r="AS52">
        <f>(0.6667-AT52*AR52)/AQ52</f>
        <v>0.1395554301608354</v>
      </c>
      <c r="AT52">
        <v>0</v>
      </c>
      <c r="AU52">
        <f>AS52</f>
        <v>0.1395554301608354</v>
      </c>
      <c r="AW52">
        <f aca="true" t="shared" si="16" ref="AW52:AW72">EXP($C$45+$C$43/AY$50+$B$41*$B$14/AY$50)</f>
        <v>6.811025821054993</v>
      </c>
      <c r="AX52">
        <f aca="true" t="shared" si="17" ref="AX52:AX72">EXP($C$46+$C$44/AY$50+$C$41*$B$14/AY$50)</f>
        <v>1.3222854531307033</v>
      </c>
      <c r="AY52">
        <f>(0.6667-AZ52*AX52)/AW52</f>
        <v>0.09788540192272117</v>
      </c>
      <c r="AZ52">
        <v>0</v>
      </c>
      <c r="BA52">
        <f>AY52</f>
        <v>0.09788540192272117</v>
      </c>
      <c r="BC52">
        <f aca="true" t="shared" si="18" ref="BC52:BC72">EXP($C$45+$C$43/BE$50+$B$41*$B$14/BE$50)</f>
        <v>10.357300493248442</v>
      </c>
      <c r="BD52">
        <f aca="true" t="shared" si="19" ref="BD52:BD72">EXP($C$46+$C$44/BE$50+$C$41*$B$14/BE$50)</f>
        <v>1.611013036536682</v>
      </c>
      <c r="BE52">
        <f>(0.6667-BF52*BD52)/BC52</f>
        <v>0.06437005476809311</v>
      </c>
      <c r="BF52">
        <v>0</v>
      </c>
      <c r="BG52">
        <f>BE52</f>
        <v>0.06437005476809311</v>
      </c>
      <c r="BI52">
        <f aca="true" t="shared" si="20" ref="BI52:BI72">EXP($C$45+$C$43/BK$50+$B$41*$B$14/BK$50)</f>
        <v>17.127242080719306</v>
      </c>
      <c r="BJ52">
        <f aca="true" t="shared" si="21" ref="BJ52:BJ72">EXP($C$46+$C$44/BK$50+$C$41*$B$14/BK$50)</f>
        <v>2.041867969074457</v>
      </c>
      <c r="BK52">
        <f>(0.6667-BL52*BJ52)/BI52</f>
        <v>0.038926290459251806</v>
      </c>
      <c r="BL52">
        <v>0</v>
      </c>
      <c r="BM52">
        <f>BK52</f>
        <v>0.038926290459251806</v>
      </c>
      <c r="BO52">
        <f aca="true" t="shared" si="22" ref="BO52:BO72">EXP($C$45+$C$43/BQ$50+$B$41*$B$14/BQ$50)</f>
        <v>31.671651440175555</v>
      </c>
      <c r="BP52">
        <f aca="true" t="shared" si="23" ref="BP52:BP72">EXP($C$46+$C$44/BQ$50+$C$41*$B$14/BQ$50)</f>
        <v>2.727905243101414</v>
      </c>
      <c r="BQ52">
        <f>(0.6667-BR52*BP52)/BO52</f>
        <v>0.021050370589589452</v>
      </c>
      <c r="BR52">
        <v>0</v>
      </c>
      <c r="BS52">
        <f>BQ52</f>
        <v>0.021050370589589452</v>
      </c>
      <c r="BU52">
        <f aca="true" t="shared" si="24" ref="BU52:BU72">EXP($C$45+$C$43/BW$50+$B$41*$B$14/BW$50)</f>
        <v>68.29671269242061</v>
      </c>
      <c r="BV52">
        <f aca="true" t="shared" si="25" ref="BV52:BV72">EXP($C$46+$C$44/BW$50+$C$41*$B$14/BW$50)</f>
        <v>3.918152277900594</v>
      </c>
      <c r="BW52">
        <f>(0.6667-BX52*BV52)/BU52</f>
        <v>0.00976181683886505</v>
      </c>
      <c r="BX52">
        <v>0</v>
      </c>
      <c r="BY52">
        <f>BW52</f>
        <v>0.00976181683886505</v>
      </c>
      <c r="CA52">
        <f aca="true" t="shared" si="26" ref="CA52:CA72">EXP($C$45+$C$43/CC$50+$B$41*$B$14/CC$50)</f>
        <v>183.4340946413366</v>
      </c>
      <c r="CB52">
        <f aca="true" t="shared" si="27" ref="CB52:CB72">EXP($C$46+$C$44/CC$50+$C$41*$B$14/CC$50)</f>
        <v>6.241119416736615</v>
      </c>
      <c r="CC52">
        <f>(0.6667-CD52*CB52)/CA52</f>
        <v>0.0036345478810990905</v>
      </c>
      <c r="CD52">
        <v>0</v>
      </c>
      <c r="CE52">
        <f>CC52</f>
        <v>0.0036345478810990905</v>
      </c>
      <c r="CG52">
        <f aca="true" t="shared" si="28" ref="CG52:CG72">EXP($C$45+$C$43/CI$50+$B$41*$B$14/CI$50)</f>
        <v>684.8367760068995</v>
      </c>
      <c r="CH52">
        <f aca="true" t="shared" si="29" ref="CH52:CH72">EXP($C$46+$C$44/CI$50+$C$41*$B$14/CI$50)</f>
        <v>11.610138519235557</v>
      </c>
      <c r="CI52">
        <f>(0.6667-CJ52*CH52)/CG52</f>
        <v>0.0009735166441956428</v>
      </c>
      <c r="CJ52">
        <v>0</v>
      </c>
      <c r="CK52">
        <f>CI52</f>
        <v>0.0009735166441956428</v>
      </c>
    </row>
    <row r="53" spans="1:89" ht="15.75">
      <c r="A53">
        <f t="shared" si="0"/>
        <v>1.0771165719846167</v>
      </c>
      <c r="B53">
        <f t="shared" si="1"/>
        <v>0.5545240004946993</v>
      </c>
      <c r="C53">
        <f aca="true" t="shared" si="30" ref="C53:C72">(0.6667-D53*B53)/A53</f>
        <v>0.613819132665332</v>
      </c>
      <c r="D53">
        <v>0.01</v>
      </c>
      <c r="E53">
        <f aca="true" t="shared" si="31" ref="E53:E72">C53</f>
        <v>0.613819132665332</v>
      </c>
      <c r="G53">
        <f t="shared" si="2"/>
        <v>1.2459355803870673</v>
      </c>
      <c r="H53">
        <f t="shared" si="3"/>
        <v>0.5939029318491669</v>
      </c>
      <c r="I53">
        <f aca="true" t="shared" si="32" ref="I53:I72">(0.6667-J53*H53)/G53</f>
        <v>0.5303331737875514</v>
      </c>
      <c r="J53">
        <v>0.01</v>
      </c>
      <c r="K53">
        <f aca="true" t="shared" si="33" ref="K53:K72">I53</f>
        <v>0.5303331737875514</v>
      </c>
      <c r="M53">
        <f t="shared" si="4"/>
        <v>1.4647190981721883</v>
      </c>
      <c r="N53">
        <f t="shared" si="5"/>
        <v>0.6409455841557135</v>
      </c>
      <c r="O53">
        <f aca="true" t="shared" si="34" ref="O53:O72">(0.6667-P53*N53)/M53</f>
        <v>0.45079670564985075</v>
      </c>
      <c r="P53">
        <v>0.01</v>
      </c>
      <c r="Q53">
        <f aca="true" t="shared" si="35" ref="Q53:Q72">O53</f>
        <v>0.45079670564985075</v>
      </c>
      <c r="S53">
        <f t="shared" si="6"/>
        <v>1.7550069325111373</v>
      </c>
      <c r="T53">
        <f t="shared" si="7"/>
        <v>0.6979457024640006</v>
      </c>
      <c r="U53">
        <f aca="true" t="shared" si="36" ref="U53:U72">(0.6667-V53*T53)/S53</f>
        <v>0.375907656405325</v>
      </c>
      <c r="V53">
        <v>0.01</v>
      </c>
      <c r="W53">
        <f aca="true" t="shared" si="37" ref="W53:W72">U53</f>
        <v>0.375907656405325</v>
      </c>
      <c r="Y53">
        <f t="shared" si="8"/>
        <v>2.1508934145990133</v>
      </c>
      <c r="Z53">
        <f t="shared" si="9"/>
        <v>0.7681520163237816</v>
      </c>
      <c r="AA53">
        <f aca="true" t="shared" si="38" ref="AA53:AA72">(0.6667-AB53*Z53)/Y53</f>
        <v>0.3063929041596055</v>
      </c>
      <c r="AB53">
        <v>0.01</v>
      </c>
      <c r="AC53">
        <f aca="true" t="shared" si="39" ref="AC53:AC72">AA53</f>
        <v>0.3063929041596055</v>
      </c>
      <c r="AE53">
        <f t="shared" si="10"/>
        <v>2.7085547408301465</v>
      </c>
      <c r="AF53">
        <f t="shared" si="11"/>
        <v>0.8562937692556124</v>
      </c>
      <c r="AG53">
        <f aca="true" t="shared" si="40" ref="AG53:AG72">(0.6667-AH53*AF53)/AE53</f>
        <v>0.2429845896729896</v>
      </c>
      <c r="AH53">
        <v>0.01</v>
      </c>
      <c r="AI53">
        <f aca="true" t="shared" si="41" ref="AI53:AI72">AG53</f>
        <v>0.2429845896729896</v>
      </c>
      <c r="AK53">
        <f t="shared" si="12"/>
        <v>3.5249991772401073</v>
      </c>
      <c r="AL53">
        <f t="shared" si="13"/>
        <v>0.9694775701977635</v>
      </c>
      <c r="AM53">
        <f aca="true" t="shared" si="42" ref="AM53:AM72">(0.6667-AN53*AL53)/AK53</f>
        <v>0.1863845042972247</v>
      </c>
      <c r="AN53">
        <v>0.01</v>
      </c>
      <c r="AO53">
        <f aca="true" t="shared" si="43" ref="AO53:AO72">AM53</f>
        <v>0.1863845042972247</v>
      </c>
      <c r="AQ53">
        <f t="shared" si="14"/>
        <v>4.777313209752131</v>
      </c>
      <c r="AR53">
        <f t="shared" si="15"/>
        <v>1.11878686790443</v>
      </c>
      <c r="AS53">
        <f aca="true" t="shared" si="44" ref="AS53:AS72">(0.6667-AT53*AR53)/AQ53</f>
        <v>0.13721355551543724</v>
      </c>
      <c r="AT53">
        <v>0.01</v>
      </c>
      <c r="AU53">
        <f aca="true" t="shared" si="45" ref="AU53:AU72">AS53</f>
        <v>0.13721355551543724</v>
      </c>
      <c r="AW53">
        <f t="shared" si="16"/>
        <v>6.811025821054993</v>
      </c>
      <c r="AX53">
        <f t="shared" si="17"/>
        <v>1.3222854531307033</v>
      </c>
      <c r="AY53">
        <f aca="true" t="shared" si="46" ref="AY53:AY72">(0.6667-AZ53*AX53)/AW53</f>
        <v>0.09594401234665599</v>
      </c>
      <c r="AZ53">
        <v>0.01</v>
      </c>
      <c r="BA53">
        <f aca="true" t="shared" si="47" ref="BA53:BA72">AY53</f>
        <v>0.09594401234665599</v>
      </c>
      <c r="BC53">
        <f t="shared" si="18"/>
        <v>10.357300493248442</v>
      </c>
      <c r="BD53">
        <f t="shared" si="19"/>
        <v>1.611013036536682</v>
      </c>
      <c r="BE53">
        <f aca="true" t="shared" si="48" ref="BE53:BE72">(0.6667-BF53*BD53)/BC53</f>
        <v>0.06281461757904289</v>
      </c>
      <c r="BF53">
        <v>0.01</v>
      </c>
      <c r="BG53">
        <f aca="true" t="shared" si="49" ref="BG53:BG72">BE53</f>
        <v>0.06281461757904289</v>
      </c>
      <c r="BI53">
        <f t="shared" si="20"/>
        <v>17.127242080719306</v>
      </c>
      <c r="BJ53">
        <f t="shared" si="21"/>
        <v>2.041867969074457</v>
      </c>
      <c r="BK53">
        <f aca="true" t="shared" si="50" ref="BK53:BK72">(0.6667-BL53*BJ53)/BI53</f>
        <v>0.03773411488337607</v>
      </c>
      <c r="BL53">
        <v>0.01</v>
      </c>
      <c r="BM53">
        <f aca="true" t="shared" si="51" ref="BM53:BM72">BK53</f>
        <v>0.03773411488337607</v>
      </c>
      <c r="BO53">
        <f t="shared" si="22"/>
        <v>31.671651440175555</v>
      </c>
      <c r="BP53">
        <f t="shared" si="23"/>
        <v>2.727905243101414</v>
      </c>
      <c r="BQ53">
        <f aca="true" t="shared" si="52" ref="BQ53:BQ72">(0.6667-BR53*BP53)/BO53</f>
        <v>0.020189062410489875</v>
      </c>
      <c r="BR53">
        <v>0.01</v>
      </c>
      <c r="BS53">
        <f aca="true" t="shared" si="53" ref="BS53:BS72">BQ53</f>
        <v>0.020189062410489875</v>
      </c>
      <c r="BU53">
        <f t="shared" si="24"/>
        <v>68.29671269242061</v>
      </c>
      <c r="BV53">
        <f t="shared" si="25"/>
        <v>3.918152277900594</v>
      </c>
      <c r="BW53">
        <f aca="true" t="shared" si="54" ref="BW53:BW72">(0.6667-BX53*BV53)/BU53</f>
        <v>0.009188121250389763</v>
      </c>
      <c r="BX53">
        <v>0.01</v>
      </c>
      <c r="BY53">
        <f aca="true" t="shared" si="55" ref="BY53:BY72">BW53</f>
        <v>0.009188121250389763</v>
      </c>
      <c r="CA53">
        <f t="shared" si="26"/>
        <v>183.4340946413366</v>
      </c>
      <c r="CB53">
        <f t="shared" si="27"/>
        <v>6.241119416736615</v>
      </c>
      <c r="CC53">
        <f aca="true" t="shared" si="56" ref="CC53:CC72">(0.6667-CD53*CB53)/CA53</f>
        <v>0.003294310182707213</v>
      </c>
      <c r="CD53">
        <v>0.01</v>
      </c>
      <c r="CE53">
        <f aca="true" t="shared" si="57" ref="CE53:CE72">CC53</f>
        <v>0.003294310182707213</v>
      </c>
      <c r="CG53">
        <f t="shared" si="28"/>
        <v>684.8367760068995</v>
      </c>
      <c r="CH53">
        <f t="shared" si="29"/>
        <v>11.610138519235557</v>
      </c>
      <c r="CI53">
        <f aca="true" t="shared" si="58" ref="CI53:CI72">(0.6667-CJ53*CH53)/CG53</f>
        <v>0.00080398517442074</v>
      </c>
      <c r="CJ53">
        <v>0.01</v>
      </c>
      <c r="CK53">
        <f aca="true" t="shared" si="59" ref="CK53:CK72">CI53</f>
        <v>0.00080398517442074</v>
      </c>
    </row>
    <row r="54" spans="1:89" ht="15.75">
      <c r="A54">
        <f t="shared" si="0"/>
        <v>1.0771165719846167</v>
      </c>
      <c r="B54">
        <f t="shared" si="1"/>
        <v>0.5545240004946993</v>
      </c>
      <c r="C54">
        <f t="shared" si="30"/>
        <v>0.608670906234529</v>
      </c>
      <c r="D54">
        <v>0.02</v>
      </c>
      <c r="E54">
        <f t="shared" si="31"/>
        <v>0.608670906234529</v>
      </c>
      <c r="G54">
        <f t="shared" si="2"/>
        <v>1.2459355803870673</v>
      </c>
      <c r="H54">
        <f t="shared" si="3"/>
        <v>0.5939029318491669</v>
      </c>
      <c r="I54">
        <f t="shared" si="32"/>
        <v>0.5255664511640217</v>
      </c>
      <c r="J54">
        <v>0.02</v>
      </c>
      <c r="K54">
        <f t="shared" si="33"/>
        <v>0.5255664511640217</v>
      </c>
      <c r="M54">
        <f t="shared" si="4"/>
        <v>1.4647190981721883</v>
      </c>
      <c r="N54">
        <f t="shared" si="5"/>
        <v>0.6409455841557135</v>
      </c>
      <c r="O54">
        <f t="shared" si="34"/>
        <v>0.44642081142579415</v>
      </c>
      <c r="P54">
        <v>0.02</v>
      </c>
      <c r="Q54">
        <f t="shared" si="35"/>
        <v>0.44642081142579415</v>
      </c>
      <c r="S54">
        <f t="shared" si="6"/>
        <v>1.7550069325111373</v>
      </c>
      <c r="T54">
        <f t="shared" si="7"/>
        <v>0.6979457024640006</v>
      </c>
      <c r="U54">
        <f t="shared" si="36"/>
        <v>0.37193077352506565</v>
      </c>
      <c r="V54">
        <v>0.02</v>
      </c>
      <c r="W54">
        <f t="shared" si="37"/>
        <v>0.37193077352506565</v>
      </c>
      <c r="Y54">
        <f t="shared" si="8"/>
        <v>2.1508934145990133</v>
      </c>
      <c r="Z54">
        <f t="shared" si="9"/>
        <v>0.7681520163237816</v>
      </c>
      <c r="AA54">
        <f t="shared" si="38"/>
        <v>0.30282158811432863</v>
      </c>
      <c r="AB54">
        <v>0.02</v>
      </c>
      <c r="AC54">
        <f t="shared" si="39"/>
        <v>0.30282158811432863</v>
      </c>
      <c r="AE54">
        <f t="shared" si="10"/>
        <v>2.7085547408301465</v>
      </c>
      <c r="AF54">
        <f t="shared" si="11"/>
        <v>0.8562937692556124</v>
      </c>
      <c r="AG54">
        <f t="shared" si="40"/>
        <v>0.23982314805119995</v>
      </c>
      <c r="AH54">
        <v>0.02</v>
      </c>
      <c r="AI54">
        <f t="shared" si="41"/>
        <v>0.23982314805119995</v>
      </c>
      <c r="AK54">
        <f t="shared" si="12"/>
        <v>3.5249991772401073</v>
      </c>
      <c r="AL54">
        <f t="shared" si="13"/>
        <v>0.9694775701977635</v>
      </c>
      <c r="AM54">
        <f t="shared" si="42"/>
        <v>0.1836342126760028</v>
      </c>
      <c r="AN54">
        <v>0.02</v>
      </c>
      <c r="AO54">
        <f t="shared" si="43"/>
        <v>0.1836342126760028</v>
      </c>
      <c r="AQ54">
        <f t="shared" si="14"/>
        <v>4.777313209752131</v>
      </c>
      <c r="AR54">
        <f t="shared" si="15"/>
        <v>1.11878686790443</v>
      </c>
      <c r="AS54">
        <f t="shared" si="44"/>
        <v>0.13487168087003906</v>
      </c>
      <c r="AT54">
        <v>0.02</v>
      </c>
      <c r="AU54">
        <f t="shared" si="45"/>
        <v>0.13487168087003906</v>
      </c>
      <c r="AW54">
        <f t="shared" si="16"/>
        <v>6.811025821054993</v>
      </c>
      <c r="AX54">
        <f t="shared" si="17"/>
        <v>1.3222854531307033</v>
      </c>
      <c r="AY54">
        <f t="shared" si="46"/>
        <v>0.09400262277059078</v>
      </c>
      <c r="AZ54">
        <v>0.02</v>
      </c>
      <c r="BA54">
        <f t="shared" si="47"/>
        <v>0.09400262277059078</v>
      </c>
      <c r="BC54">
        <f t="shared" si="18"/>
        <v>10.357300493248442</v>
      </c>
      <c r="BD54">
        <f t="shared" si="19"/>
        <v>1.611013036536682</v>
      </c>
      <c r="BE54">
        <f t="shared" si="48"/>
        <v>0.06125918038999266</v>
      </c>
      <c r="BF54">
        <v>0.02</v>
      </c>
      <c r="BG54">
        <f t="shared" si="49"/>
        <v>0.06125918038999266</v>
      </c>
      <c r="BI54">
        <f t="shared" si="20"/>
        <v>17.127242080719306</v>
      </c>
      <c r="BJ54">
        <f t="shared" si="21"/>
        <v>2.041867969074457</v>
      </c>
      <c r="BK54">
        <f t="shared" si="50"/>
        <v>0.03654193930750035</v>
      </c>
      <c r="BL54">
        <v>0.02</v>
      </c>
      <c r="BM54">
        <f t="shared" si="51"/>
        <v>0.03654193930750035</v>
      </c>
      <c r="BO54">
        <f t="shared" si="22"/>
        <v>31.671651440175555</v>
      </c>
      <c r="BP54">
        <f t="shared" si="23"/>
        <v>2.727905243101414</v>
      </c>
      <c r="BQ54">
        <f t="shared" si="52"/>
        <v>0.0193277542313903</v>
      </c>
      <c r="BR54">
        <v>0.02</v>
      </c>
      <c r="BS54">
        <f t="shared" si="53"/>
        <v>0.0193277542313903</v>
      </c>
      <c r="BU54">
        <f t="shared" si="24"/>
        <v>68.29671269242061</v>
      </c>
      <c r="BV54">
        <f t="shared" si="25"/>
        <v>3.918152277900594</v>
      </c>
      <c r="BW54">
        <f t="shared" si="54"/>
        <v>0.008614425661914473</v>
      </c>
      <c r="BX54">
        <v>0.02</v>
      </c>
      <c r="BY54">
        <f t="shared" si="55"/>
        <v>0.008614425661914473</v>
      </c>
      <c r="CA54">
        <f t="shared" si="26"/>
        <v>183.4340946413366</v>
      </c>
      <c r="CB54">
        <f t="shared" si="27"/>
        <v>6.241119416736615</v>
      </c>
      <c r="CC54">
        <f t="shared" si="56"/>
        <v>0.0029540724843153364</v>
      </c>
      <c r="CD54">
        <v>0.02</v>
      </c>
      <c r="CE54">
        <f t="shared" si="57"/>
        <v>0.0029540724843153364</v>
      </c>
      <c r="CG54">
        <f t="shared" si="28"/>
        <v>684.8367760068995</v>
      </c>
      <c r="CH54">
        <f t="shared" si="29"/>
        <v>11.610138519235557</v>
      </c>
      <c r="CI54">
        <f t="shared" si="58"/>
        <v>0.0006344537046458372</v>
      </c>
      <c r="CJ54">
        <v>0.02</v>
      </c>
      <c r="CK54">
        <f t="shared" si="59"/>
        <v>0.0006344537046458372</v>
      </c>
    </row>
    <row r="55" spans="1:89" ht="15.75">
      <c r="A55">
        <f t="shared" si="0"/>
        <v>1.0771165719846167</v>
      </c>
      <c r="B55">
        <f t="shared" si="1"/>
        <v>0.5545240004946993</v>
      </c>
      <c r="C55">
        <f t="shared" si="30"/>
        <v>0.6035226798037262</v>
      </c>
      <c r="D55">
        <v>0.03</v>
      </c>
      <c r="E55">
        <f t="shared" si="31"/>
        <v>0.6035226798037262</v>
      </c>
      <c r="G55">
        <f t="shared" si="2"/>
        <v>1.2459355803870673</v>
      </c>
      <c r="H55">
        <f t="shared" si="3"/>
        <v>0.5939029318491669</v>
      </c>
      <c r="I55">
        <f t="shared" si="32"/>
        <v>0.520799728540492</v>
      </c>
      <c r="J55">
        <v>0.03</v>
      </c>
      <c r="K55">
        <f t="shared" si="33"/>
        <v>0.520799728540492</v>
      </c>
      <c r="M55">
        <f t="shared" si="4"/>
        <v>1.4647190981721883</v>
      </c>
      <c r="N55">
        <f t="shared" si="5"/>
        <v>0.6409455841557135</v>
      </c>
      <c r="O55">
        <f t="shared" si="34"/>
        <v>0.4420449172017375</v>
      </c>
      <c r="P55">
        <v>0.03</v>
      </c>
      <c r="Q55">
        <f t="shared" si="35"/>
        <v>0.4420449172017375</v>
      </c>
      <c r="S55">
        <f t="shared" si="6"/>
        <v>1.7550069325111373</v>
      </c>
      <c r="T55">
        <f t="shared" si="7"/>
        <v>0.6979457024640006</v>
      </c>
      <c r="U55">
        <f t="shared" si="36"/>
        <v>0.36795389064480627</v>
      </c>
      <c r="V55">
        <v>0.03</v>
      </c>
      <c r="W55">
        <f t="shared" si="37"/>
        <v>0.36795389064480627</v>
      </c>
      <c r="Y55">
        <f t="shared" si="8"/>
        <v>2.1508934145990133</v>
      </c>
      <c r="Z55">
        <f t="shared" si="9"/>
        <v>0.7681520163237816</v>
      </c>
      <c r="AA55">
        <f t="shared" si="38"/>
        <v>0.29925027206905175</v>
      </c>
      <c r="AB55">
        <v>0.03</v>
      </c>
      <c r="AC55">
        <f t="shared" si="39"/>
        <v>0.29925027206905175</v>
      </c>
      <c r="AE55">
        <f t="shared" si="10"/>
        <v>2.7085547408301465</v>
      </c>
      <c r="AF55">
        <f t="shared" si="11"/>
        <v>0.8562937692556124</v>
      </c>
      <c r="AG55">
        <f t="shared" si="40"/>
        <v>0.23666170642941028</v>
      </c>
      <c r="AH55">
        <v>0.03</v>
      </c>
      <c r="AI55">
        <f t="shared" si="41"/>
        <v>0.23666170642941028</v>
      </c>
      <c r="AK55">
        <f t="shared" si="12"/>
        <v>3.5249991772401073</v>
      </c>
      <c r="AL55">
        <f t="shared" si="13"/>
        <v>0.9694775701977635</v>
      </c>
      <c r="AM55">
        <f t="shared" si="42"/>
        <v>0.18088392105478088</v>
      </c>
      <c r="AN55">
        <v>0.03</v>
      </c>
      <c r="AO55">
        <f t="shared" si="43"/>
        <v>0.18088392105478088</v>
      </c>
      <c r="AQ55">
        <f t="shared" si="14"/>
        <v>4.777313209752131</v>
      </c>
      <c r="AR55">
        <f t="shared" si="15"/>
        <v>1.11878686790443</v>
      </c>
      <c r="AS55">
        <f t="shared" si="44"/>
        <v>0.1325298062246409</v>
      </c>
      <c r="AT55">
        <v>0.03</v>
      </c>
      <c r="AU55">
        <f t="shared" si="45"/>
        <v>0.1325298062246409</v>
      </c>
      <c r="AW55">
        <f t="shared" si="16"/>
        <v>6.811025821054993</v>
      </c>
      <c r="AX55">
        <f t="shared" si="17"/>
        <v>1.3222854531307033</v>
      </c>
      <c r="AY55">
        <f t="shared" si="46"/>
        <v>0.0920612331945256</v>
      </c>
      <c r="AZ55">
        <v>0.03</v>
      </c>
      <c r="BA55">
        <f t="shared" si="47"/>
        <v>0.0920612331945256</v>
      </c>
      <c r="BC55">
        <f t="shared" si="18"/>
        <v>10.357300493248442</v>
      </c>
      <c r="BD55">
        <f t="shared" si="19"/>
        <v>1.611013036536682</v>
      </c>
      <c r="BE55">
        <f t="shared" si="48"/>
        <v>0.05970374320094245</v>
      </c>
      <c r="BF55">
        <v>0.03</v>
      </c>
      <c r="BG55">
        <f t="shared" si="49"/>
        <v>0.05970374320094245</v>
      </c>
      <c r="BI55">
        <f t="shared" si="20"/>
        <v>17.127242080719306</v>
      </c>
      <c r="BJ55">
        <f t="shared" si="21"/>
        <v>2.041867969074457</v>
      </c>
      <c r="BK55">
        <f t="shared" si="50"/>
        <v>0.035349763731624614</v>
      </c>
      <c r="BL55">
        <v>0.03</v>
      </c>
      <c r="BM55">
        <f t="shared" si="51"/>
        <v>0.035349763731624614</v>
      </c>
      <c r="BO55">
        <f t="shared" si="22"/>
        <v>31.671651440175555</v>
      </c>
      <c r="BP55">
        <f t="shared" si="23"/>
        <v>2.727905243101414</v>
      </c>
      <c r="BQ55">
        <f t="shared" si="52"/>
        <v>0.018466446052290718</v>
      </c>
      <c r="BR55">
        <v>0.03</v>
      </c>
      <c r="BS55">
        <f t="shared" si="53"/>
        <v>0.018466446052290718</v>
      </c>
      <c r="BU55">
        <f t="shared" si="24"/>
        <v>68.29671269242061</v>
      </c>
      <c r="BV55">
        <f t="shared" si="25"/>
        <v>3.918152277900594</v>
      </c>
      <c r="BW55">
        <f t="shared" si="54"/>
        <v>0.008040730073439185</v>
      </c>
      <c r="BX55">
        <v>0.03</v>
      </c>
      <c r="BY55">
        <f t="shared" si="55"/>
        <v>0.008040730073439185</v>
      </c>
      <c r="CA55">
        <f t="shared" si="26"/>
        <v>183.4340946413366</v>
      </c>
      <c r="CB55">
        <f t="shared" si="27"/>
        <v>6.241119416736615</v>
      </c>
      <c r="CC55">
        <f t="shared" si="56"/>
        <v>0.002613834785923459</v>
      </c>
      <c r="CD55">
        <v>0.03</v>
      </c>
      <c r="CE55">
        <f t="shared" si="57"/>
        <v>0.002613834785923459</v>
      </c>
      <c r="CG55">
        <f t="shared" si="28"/>
        <v>684.8367760068995</v>
      </c>
      <c r="CH55">
        <f t="shared" si="29"/>
        <v>11.610138519235557</v>
      </c>
      <c r="CI55">
        <f t="shared" si="58"/>
        <v>0.0004649222348709345</v>
      </c>
      <c r="CJ55">
        <v>0.03</v>
      </c>
      <c r="CK55">
        <f t="shared" si="59"/>
        <v>0.0004649222348709345</v>
      </c>
    </row>
    <row r="56" spans="1:89" ht="15.75">
      <c r="A56">
        <f t="shared" si="0"/>
        <v>1.0771165719846167</v>
      </c>
      <c r="B56">
        <f t="shared" si="1"/>
        <v>0.5545240004946993</v>
      </c>
      <c r="C56">
        <f t="shared" si="30"/>
        <v>0.5983744533729233</v>
      </c>
      <c r="D56">
        <v>0.04</v>
      </c>
      <c r="E56">
        <f t="shared" si="31"/>
        <v>0.5983744533729233</v>
      </c>
      <c r="G56">
        <f t="shared" si="2"/>
        <v>1.2459355803870673</v>
      </c>
      <c r="H56">
        <f t="shared" si="3"/>
        <v>0.5939029318491669</v>
      </c>
      <c r="I56">
        <f t="shared" si="32"/>
        <v>0.5160330059169622</v>
      </c>
      <c r="J56">
        <v>0.04</v>
      </c>
      <c r="K56">
        <f t="shared" si="33"/>
        <v>0.5160330059169622</v>
      </c>
      <c r="M56">
        <f t="shared" si="4"/>
        <v>1.4647190981721883</v>
      </c>
      <c r="N56">
        <f t="shared" si="5"/>
        <v>0.6409455841557135</v>
      </c>
      <c r="O56">
        <f t="shared" si="34"/>
        <v>0.43766902297768084</v>
      </c>
      <c r="P56">
        <v>0.04</v>
      </c>
      <c r="Q56">
        <f t="shared" si="35"/>
        <v>0.43766902297768084</v>
      </c>
      <c r="S56">
        <f t="shared" si="6"/>
        <v>1.7550069325111373</v>
      </c>
      <c r="T56">
        <f t="shared" si="7"/>
        <v>0.6979457024640006</v>
      </c>
      <c r="U56">
        <f t="shared" si="36"/>
        <v>0.36397700776454694</v>
      </c>
      <c r="V56">
        <v>0.04</v>
      </c>
      <c r="W56">
        <f t="shared" si="37"/>
        <v>0.36397700776454694</v>
      </c>
      <c r="Y56">
        <f t="shared" si="8"/>
        <v>2.1508934145990133</v>
      </c>
      <c r="Z56">
        <f t="shared" si="9"/>
        <v>0.7681520163237816</v>
      </c>
      <c r="AA56">
        <f t="shared" si="38"/>
        <v>0.2956789560237749</v>
      </c>
      <c r="AB56">
        <v>0.04</v>
      </c>
      <c r="AC56">
        <f t="shared" si="39"/>
        <v>0.2956789560237749</v>
      </c>
      <c r="AE56">
        <f t="shared" si="10"/>
        <v>2.7085547408301465</v>
      </c>
      <c r="AF56">
        <f t="shared" si="11"/>
        <v>0.8562937692556124</v>
      </c>
      <c r="AG56">
        <f t="shared" si="40"/>
        <v>0.23350026480762065</v>
      </c>
      <c r="AH56">
        <v>0.04</v>
      </c>
      <c r="AI56">
        <f t="shared" si="41"/>
        <v>0.23350026480762065</v>
      </c>
      <c r="AK56">
        <f t="shared" si="12"/>
        <v>3.5249991772401073</v>
      </c>
      <c r="AL56">
        <f t="shared" si="13"/>
        <v>0.9694775701977635</v>
      </c>
      <c r="AM56">
        <f t="shared" si="42"/>
        <v>0.17813362943355895</v>
      </c>
      <c r="AN56">
        <v>0.04</v>
      </c>
      <c r="AO56">
        <f t="shared" si="43"/>
        <v>0.17813362943355895</v>
      </c>
      <c r="AQ56">
        <f t="shared" si="14"/>
        <v>4.777313209752131</v>
      </c>
      <c r="AR56">
        <f t="shared" si="15"/>
        <v>1.11878686790443</v>
      </c>
      <c r="AS56">
        <f t="shared" si="44"/>
        <v>0.1301879315792427</v>
      </c>
      <c r="AT56">
        <v>0.04</v>
      </c>
      <c r="AU56">
        <f t="shared" si="45"/>
        <v>0.1301879315792427</v>
      </c>
      <c r="AW56">
        <f t="shared" si="16"/>
        <v>6.811025821054993</v>
      </c>
      <c r="AX56">
        <f t="shared" si="17"/>
        <v>1.3222854531307033</v>
      </c>
      <c r="AY56">
        <f t="shared" si="46"/>
        <v>0.0901198436184604</v>
      </c>
      <c r="AZ56">
        <v>0.04</v>
      </c>
      <c r="BA56">
        <f t="shared" si="47"/>
        <v>0.0901198436184604</v>
      </c>
      <c r="BC56">
        <f t="shared" si="18"/>
        <v>10.357300493248442</v>
      </c>
      <c r="BD56">
        <f t="shared" si="19"/>
        <v>1.611013036536682</v>
      </c>
      <c r="BE56">
        <f t="shared" si="48"/>
        <v>0.05814830601189223</v>
      </c>
      <c r="BF56">
        <v>0.04</v>
      </c>
      <c r="BG56">
        <f t="shared" si="49"/>
        <v>0.05814830601189223</v>
      </c>
      <c r="BI56">
        <f t="shared" si="20"/>
        <v>17.127242080719306</v>
      </c>
      <c r="BJ56">
        <f t="shared" si="21"/>
        <v>2.041867969074457</v>
      </c>
      <c r="BK56">
        <f t="shared" si="50"/>
        <v>0.03415758815574889</v>
      </c>
      <c r="BL56">
        <v>0.04</v>
      </c>
      <c r="BM56">
        <f t="shared" si="51"/>
        <v>0.03415758815574889</v>
      </c>
      <c r="BO56">
        <f t="shared" si="22"/>
        <v>31.671651440175555</v>
      </c>
      <c r="BP56">
        <f t="shared" si="23"/>
        <v>2.727905243101414</v>
      </c>
      <c r="BQ56">
        <f t="shared" si="52"/>
        <v>0.01760513787319114</v>
      </c>
      <c r="BR56">
        <v>0.04</v>
      </c>
      <c r="BS56">
        <f t="shared" si="53"/>
        <v>0.01760513787319114</v>
      </c>
      <c r="BU56">
        <f t="shared" si="24"/>
        <v>68.29671269242061</v>
      </c>
      <c r="BV56">
        <f t="shared" si="25"/>
        <v>3.918152277900594</v>
      </c>
      <c r="BW56">
        <f t="shared" si="54"/>
        <v>0.007467034484963897</v>
      </c>
      <c r="BX56">
        <v>0.04</v>
      </c>
      <c r="BY56">
        <f t="shared" si="55"/>
        <v>0.007467034484963897</v>
      </c>
      <c r="CA56">
        <f t="shared" si="26"/>
        <v>183.4340946413366</v>
      </c>
      <c r="CB56">
        <f t="shared" si="27"/>
        <v>6.241119416736615</v>
      </c>
      <c r="CC56">
        <f t="shared" si="56"/>
        <v>0.0022735970875315814</v>
      </c>
      <c r="CD56">
        <v>0.04</v>
      </c>
      <c r="CE56">
        <f t="shared" si="57"/>
        <v>0.0022735970875315814</v>
      </c>
      <c r="CG56">
        <f t="shared" si="28"/>
        <v>684.8367760068995</v>
      </c>
      <c r="CH56">
        <f t="shared" si="29"/>
        <v>11.610138519235557</v>
      </c>
      <c r="CI56">
        <f t="shared" si="58"/>
        <v>0.0002953907650960316</v>
      </c>
      <c r="CJ56">
        <v>0.04</v>
      </c>
      <c r="CK56">
        <f t="shared" si="59"/>
        <v>0.0002953907650960316</v>
      </c>
    </row>
    <row r="57" spans="1:89" ht="15.75">
      <c r="A57">
        <f t="shared" si="0"/>
        <v>1.0771165719846167</v>
      </c>
      <c r="B57">
        <f t="shared" si="1"/>
        <v>0.5545240004946993</v>
      </c>
      <c r="C57">
        <f t="shared" si="30"/>
        <v>0.5932262269421205</v>
      </c>
      <c r="D57">
        <v>0.05</v>
      </c>
      <c r="E57">
        <f t="shared" si="31"/>
        <v>0.5932262269421205</v>
      </c>
      <c r="G57">
        <f t="shared" si="2"/>
        <v>1.2459355803870673</v>
      </c>
      <c r="H57">
        <f t="shared" si="3"/>
        <v>0.5939029318491669</v>
      </c>
      <c r="I57">
        <f t="shared" si="32"/>
        <v>0.5112662832934325</v>
      </c>
      <c r="J57">
        <v>0.05</v>
      </c>
      <c r="K57">
        <f t="shared" si="33"/>
        <v>0.5112662832934325</v>
      </c>
      <c r="M57">
        <f t="shared" si="4"/>
        <v>1.4647190981721883</v>
      </c>
      <c r="N57">
        <f t="shared" si="5"/>
        <v>0.6409455841557135</v>
      </c>
      <c r="O57">
        <f t="shared" si="34"/>
        <v>0.4332931287536242</v>
      </c>
      <c r="P57">
        <v>0.05</v>
      </c>
      <c r="Q57">
        <f t="shared" si="35"/>
        <v>0.4332931287536242</v>
      </c>
      <c r="S57">
        <f t="shared" si="6"/>
        <v>1.7550069325111373</v>
      </c>
      <c r="T57">
        <f t="shared" si="7"/>
        <v>0.6979457024640006</v>
      </c>
      <c r="U57">
        <f t="shared" si="36"/>
        <v>0.3600001248842876</v>
      </c>
      <c r="V57">
        <v>0.05</v>
      </c>
      <c r="W57">
        <f t="shared" si="37"/>
        <v>0.3600001248842876</v>
      </c>
      <c r="Y57">
        <f t="shared" si="8"/>
        <v>2.1508934145990133</v>
      </c>
      <c r="Z57">
        <f t="shared" si="9"/>
        <v>0.7681520163237816</v>
      </c>
      <c r="AA57">
        <f t="shared" si="38"/>
        <v>0.29210763997849803</v>
      </c>
      <c r="AB57">
        <v>0.05</v>
      </c>
      <c r="AC57">
        <f t="shared" si="39"/>
        <v>0.29210763997849803</v>
      </c>
      <c r="AE57">
        <f t="shared" si="10"/>
        <v>2.7085547408301465</v>
      </c>
      <c r="AF57">
        <f t="shared" si="11"/>
        <v>0.8562937692556124</v>
      </c>
      <c r="AG57">
        <f t="shared" si="40"/>
        <v>0.230338823185831</v>
      </c>
      <c r="AH57">
        <v>0.05</v>
      </c>
      <c r="AI57">
        <f t="shared" si="41"/>
        <v>0.230338823185831</v>
      </c>
      <c r="AK57">
        <f t="shared" si="12"/>
        <v>3.5249991772401073</v>
      </c>
      <c r="AL57">
        <f t="shared" si="13"/>
        <v>0.9694775701977635</v>
      </c>
      <c r="AM57">
        <f t="shared" si="42"/>
        <v>0.17538333781233703</v>
      </c>
      <c r="AN57">
        <v>0.05</v>
      </c>
      <c r="AO57">
        <f t="shared" si="43"/>
        <v>0.17538333781233703</v>
      </c>
      <c r="AQ57">
        <f t="shared" si="14"/>
        <v>4.777313209752131</v>
      </c>
      <c r="AR57">
        <f t="shared" si="15"/>
        <v>1.11878686790443</v>
      </c>
      <c r="AS57">
        <f t="shared" si="44"/>
        <v>0.12784605693384454</v>
      </c>
      <c r="AT57">
        <v>0.05</v>
      </c>
      <c r="AU57">
        <f t="shared" si="45"/>
        <v>0.12784605693384454</v>
      </c>
      <c r="AW57">
        <f t="shared" si="16"/>
        <v>6.811025821054993</v>
      </c>
      <c r="AX57">
        <f t="shared" si="17"/>
        <v>1.3222854531307033</v>
      </c>
      <c r="AY57">
        <f t="shared" si="46"/>
        <v>0.08817845404239522</v>
      </c>
      <c r="AZ57">
        <v>0.05</v>
      </c>
      <c r="BA57">
        <f t="shared" si="47"/>
        <v>0.08817845404239522</v>
      </c>
      <c r="BC57">
        <f t="shared" si="18"/>
        <v>10.357300493248442</v>
      </c>
      <c r="BD57">
        <f t="shared" si="19"/>
        <v>1.611013036536682</v>
      </c>
      <c r="BE57">
        <f t="shared" si="48"/>
        <v>0.05659286882284201</v>
      </c>
      <c r="BF57">
        <v>0.05</v>
      </c>
      <c r="BG57">
        <f t="shared" si="49"/>
        <v>0.05659286882284201</v>
      </c>
      <c r="BI57">
        <f t="shared" si="20"/>
        <v>17.127242080719306</v>
      </c>
      <c r="BJ57">
        <f t="shared" si="21"/>
        <v>2.041867969074457</v>
      </c>
      <c r="BK57">
        <f t="shared" si="50"/>
        <v>0.032965412579873156</v>
      </c>
      <c r="BL57">
        <v>0.05</v>
      </c>
      <c r="BM57">
        <f t="shared" si="51"/>
        <v>0.032965412579873156</v>
      </c>
      <c r="BO57">
        <f t="shared" si="22"/>
        <v>31.671651440175555</v>
      </c>
      <c r="BP57">
        <f t="shared" si="23"/>
        <v>2.727905243101414</v>
      </c>
      <c r="BQ57">
        <f t="shared" si="52"/>
        <v>0.016743829694091564</v>
      </c>
      <c r="BR57">
        <v>0.05</v>
      </c>
      <c r="BS57">
        <f t="shared" si="53"/>
        <v>0.016743829694091564</v>
      </c>
      <c r="BU57">
        <f t="shared" si="24"/>
        <v>68.29671269242061</v>
      </c>
      <c r="BV57">
        <f t="shared" si="25"/>
        <v>3.918152277900594</v>
      </c>
      <c r="BW57">
        <f t="shared" si="54"/>
        <v>0.006893338896488608</v>
      </c>
      <c r="BX57">
        <v>0.05</v>
      </c>
      <c r="BY57">
        <f t="shared" si="55"/>
        <v>0.006893338896488608</v>
      </c>
      <c r="CA57">
        <f t="shared" si="26"/>
        <v>183.4340946413366</v>
      </c>
      <c r="CB57">
        <f t="shared" si="27"/>
        <v>6.241119416736615</v>
      </c>
      <c r="CC57">
        <f t="shared" si="56"/>
        <v>0.001933359389139704</v>
      </c>
      <c r="CD57">
        <v>0.05</v>
      </c>
      <c r="CE57">
        <f t="shared" si="57"/>
        <v>0.001933359389139704</v>
      </c>
      <c r="CG57">
        <f t="shared" si="28"/>
        <v>684.8367760068995</v>
      </c>
      <c r="CH57">
        <f t="shared" si="29"/>
        <v>11.610138519235557</v>
      </c>
      <c r="CI57">
        <f t="shared" si="58"/>
        <v>0.00012585929532112875</v>
      </c>
      <c r="CJ57">
        <v>0.05</v>
      </c>
      <c r="CK57">
        <f t="shared" si="59"/>
        <v>0.00012585929532112875</v>
      </c>
    </row>
    <row r="58" spans="1:89" ht="15.75">
      <c r="A58">
        <f t="shared" si="0"/>
        <v>1.0771165719846167</v>
      </c>
      <c r="B58">
        <f t="shared" si="1"/>
        <v>0.5545240004946993</v>
      </c>
      <c r="C58">
        <f t="shared" si="30"/>
        <v>0.5880780005113175</v>
      </c>
      <c r="D58">
        <v>0.06</v>
      </c>
      <c r="E58">
        <f t="shared" si="31"/>
        <v>0.5880780005113175</v>
      </c>
      <c r="G58">
        <f t="shared" si="2"/>
        <v>1.2459355803870673</v>
      </c>
      <c r="H58">
        <f t="shared" si="3"/>
        <v>0.5939029318491669</v>
      </c>
      <c r="I58">
        <f t="shared" si="32"/>
        <v>0.5064995606699029</v>
      </c>
      <c r="J58">
        <v>0.06</v>
      </c>
      <c r="K58">
        <f t="shared" si="33"/>
        <v>0.5064995606699029</v>
      </c>
      <c r="M58">
        <f t="shared" si="4"/>
        <v>1.4647190981721883</v>
      </c>
      <c r="N58">
        <f t="shared" si="5"/>
        <v>0.6409455841557135</v>
      </c>
      <c r="O58">
        <f t="shared" si="34"/>
        <v>0.4289172345295676</v>
      </c>
      <c r="P58">
        <v>0.06</v>
      </c>
      <c r="Q58">
        <f t="shared" si="35"/>
        <v>0.4289172345295676</v>
      </c>
      <c r="S58">
        <f t="shared" si="6"/>
        <v>1.7550069325111373</v>
      </c>
      <c r="T58">
        <f t="shared" si="7"/>
        <v>0.6979457024640006</v>
      </c>
      <c r="U58">
        <f t="shared" si="36"/>
        <v>0.3560232420040283</v>
      </c>
      <c r="V58">
        <v>0.06</v>
      </c>
      <c r="W58">
        <f t="shared" si="37"/>
        <v>0.3560232420040283</v>
      </c>
      <c r="Y58">
        <f t="shared" si="8"/>
        <v>2.1508934145990133</v>
      </c>
      <c r="Z58">
        <f t="shared" si="9"/>
        <v>0.7681520163237816</v>
      </c>
      <c r="AA58">
        <f t="shared" si="38"/>
        <v>0.2885363239332212</v>
      </c>
      <c r="AB58">
        <v>0.06</v>
      </c>
      <c r="AC58">
        <f t="shared" si="39"/>
        <v>0.2885363239332212</v>
      </c>
      <c r="AE58">
        <f t="shared" si="10"/>
        <v>2.7085547408301465</v>
      </c>
      <c r="AF58">
        <f t="shared" si="11"/>
        <v>0.8562937692556124</v>
      </c>
      <c r="AG58">
        <f t="shared" si="40"/>
        <v>0.22717738156404133</v>
      </c>
      <c r="AH58">
        <v>0.06</v>
      </c>
      <c r="AI58">
        <f t="shared" si="41"/>
        <v>0.22717738156404133</v>
      </c>
      <c r="AK58">
        <f t="shared" si="12"/>
        <v>3.5249991772401073</v>
      </c>
      <c r="AL58">
        <f t="shared" si="13"/>
        <v>0.9694775701977635</v>
      </c>
      <c r="AM58">
        <f t="shared" si="42"/>
        <v>0.1726330461911151</v>
      </c>
      <c r="AN58">
        <v>0.06</v>
      </c>
      <c r="AO58">
        <f t="shared" si="43"/>
        <v>0.1726330461911151</v>
      </c>
      <c r="AQ58">
        <f t="shared" si="14"/>
        <v>4.777313209752131</v>
      </c>
      <c r="AR58">
        <f t="shared" si="15"/>
        <v>1.11878686790443</v>
      </c>
      <c r="AS58">
        <f t="shared" si="44"/>
        <v>0.12550418228844637</v>
      </c>
      <c r="AT58">
        <v>0.06</v>
      </c>
      <c r="AU58">
        <f t="shared" si="45"/>
        <v>0.12550418228844637</v>
      </c>
      <c r="AW58">
        <f t="shared" si="16"/>
        <v>6.811025821054993</v>
      </c>
      <c r="AX58">
        <f t="shared" si="17"/>
        <v>1.3222854531307033</v>
      </c>
      <c r="AY58">
        <f t="shared" si="46"/>
        <v>0.08623706446633003</v>
      </c>
      <c r="AZ58">
        <v>0.06</v>
      </c>
      <c r="BA58">
        <f t="shared" si="47"/>
        <v>0.08623706446633003</v>
      </c>
      <c r="BC58">
        <f t="shared" si="18"/>
        <v>10.357300493248442</v>
      </c>
      <c r="BD58">
        <f t="shared" si="19"/>
        <v>1.611013036536682</v>
      </c>
      <c r="BE58">
        <f t="shared" si="48"/>
        <v>0.05503743163379179</v>
      </c>
      <c r="BF58">
        <v>0.06</v>
      </c>
      <c r="BG58">
        <f t="shared" si="49"/>
        <v>0.05503743163379179</v>
      </c>
      <c r="BI58">
        <f t="shared" si="20"/>
        <v>17.127242080719306</v>
      </c>
      <c r="BJ58">
        <f t="shared" si="21"/>
        <v>2.041867969074457</v>
      </c>
      <c r="BK58">
        <f t="shared" si="50"/>
        <v>0.03177323700399743</v>
      </c>
      <c r="BL58">
        <v>0.06</v>
      </c>
      <c r="BM58">
        <f t="shared" si="51"/>
        <v>0.03177323700399743</v>
      </c>
      <c r="BO58">
        <f t="shared" si="22"/>
        <v>31.671651440175555</v>
      </c>
      <c r="BP58">
        <f t="shared" si="23"/>
        <v>2.727905243101414</v>
      </c>
      <c r="BQ58">
        <f t="shared" si="52"/>
        <v>0.015882521514991983</v>
      </c>
      <c r="BR58">
        <v>0.06</v>
      </c>
      <c r="BS58">
        <f t="shared" si="53"/>
        <v>0.015882521514991983</v>
      </c>
      <c r="BU58">
        <f t="shared" si="24"/>
        <v>68.29671269242061</v>
      </c>
      <c r="BV58">
        <f t="shared" si="25"/>
        <v>3.918152277900594</v>
      </c>
      <c r="BW58">
        <f t="shared" si="54"/>
        <v>0.00631964330801332</v>
      </c>
      <c r="BX58">
        <v>0.06</v>
      </c>
      <c r="BY58">
        <f t="shared" si="55"/>
        <v>0.00631964330801332</v>
      </c>
      <c r="CA58">
        <f t="shared" si="26"/>
        <v>183.4340946413366</v>
      </c>
      <c r="CB58">
        <f t="shared" si="27"/>
        <v>6.241119416736615</v>
      </c>
      <c r="CC58">
        <f t="shared" si="56"/>
        <v>0.0015931216907478269</v>
      </c>
      <c r="CD58">
        <v>0.06</v>
      </c>
      <c r="CE58">
        <f t="shared" si="57"/>
        <v>0.0015931216907478269</v>
      </c>
      <c r="CG58">
        <f t="shared" si="28"/>
        <v>684.8367760068995</v>
      </c>
      <c r="CH58">
        <f t="shared" si="29"/>
        <v>11.610138519235557</v>
      </c>
      <c r="CI58">
        <f t="shared" si="58"/>
        <v>-4.3672174453773894E-05</v>
      </c>
      <c r="CJ58">
        <v>0.06</v>
      </c>
      <c r="CK58">
        <f t="shared" si="59"/>
        <v>-4.3672174453773894E-05</v>
      </c>
    </row>
    <row r="59" spans="1:89" ht="15.75">
      <c r="A59">
        <f t="shared" si="0"/>
        <v>1.0771165719846167</v>
      </c>
      <c r="B59">
        <f t="shared" si="1"/>
        <v>0.5545240004946993</v>
      </c>
      <c r="C59">
        <f t="shared" si="30"/>
        <v>0.5829297740805147</v>
      </c>
      <c r="D59">
        <v>0.07</v>
      </c>
      <c r="E59">
        <f t="shared" si="31"/>
        <v>0.5829297740805147</v>
      </c>
      <c r="G59">
        <f t="shared" si="2"/>
        <v>1.2459355803870673</v>
      </c>
      <c r="H59">
        <f t="shared" si="3"/>
        <v>0.5939029318491669</v>
      </c>
      <c r="I59">
        <f t="shared" si="32"/>
        <v>0.5017328380463731</v>
      </c>
      <c r="J59">
        <v>0.07</v>
      </c>
      <c r="K59">
        <f t="shared" si="33"/>
        <v>0.5017328380463731</v>
      </c>
      <c r="M59">
        <f t="shared" si="4"/>
        <v>1.4647190981721883</v>
      </c>
      <c r="N59">
        <f t="shared" si="5"/>
        <v>0.6409455841557135</v>
      </c>
      <c r="O59">
        <f t="shared" si="34"/>
        <v>0.42454134030551094</v>
      </c>
      <c r="P59">
        <v>0.07</v>
      </c>
      <c r="Q59">
        <f t="shared" si="35"/>
        <v>0.42454134030551094</v>
      </c>
      <c r="S59">
        <f t="shared" si="6"/>
        <v>1.7550069325111373</v>
      </c>
      <c r="T59">
        <f t="shared" si="7"/>
        <v>0.6979457024640006</v>
      </c>
      <c r="U59">
        <f t="shared" si="36"/>
        <v>0.3520463591237689</v>
      </c>
      <c r="V59">
        <v>0.07</v>
      </c>
      <c r="W59">
        <f t="shared" si="37"/>
        <v>0.3520463591237689</v>
      </c>
      <c r="Y59">
        <f t="shared" si="8"/>
        <v>2.1508934145990133</v>
      </c>
      <c r="Z59">
        <f t="shared" si="9"/>
        <v>0.7681520163237816</v>
      </c>
      <c r="AA59">
        <f t="shared" si="38"/>
        <v>0.28496500788794427</v>
      </c>
      <c r="AB59">
        <v>0.07</v>
      </c>
      <c r="AC59">
        <f t="shared" si="39"/>
        <v>0.28496500788794427</v>
      </c>
      <c r="AE59">
        <f t="shared" si="10"/>
        <v>2.7085547408301465</v>
      </c>
      <c r="AF59">
        <f t="shared" si="11"/>
        <v>0.8562937692556124</v>
      </c>
      <c r="AG59">
        <f t="shared" si="40"/>
        <v>0.22401593994225164</v>
      </c>
      <c r="AH59">
        <v>0.07</v>
      </c>
      <c r="AI59">
        <f t="shared" si="41"/>
        <v>0.22401593994225164</v>
      </c>
      <c r="AK59">
        <f t="shared" si="12"/>
        <v>3.5249991772401073</v>
      </c>
      <c r="AL59">
        <f t="shared" si="13"/>
        <v>0.9694775701977635</v>
      </c>
      <c r="AM59">
        <f t="shared" si="42"/>
        <v>0.16988275456989319</v>
      </c>
      <c r="AN59">
        <v>0.07</v>
      </c>
      <c r="AO59">
        <f t="shared" si="43"/>
        <v>0.16988275456989319</v>
      </c>
      <c r="AQ59">
        <f t="shared" si="14"/>
        <v>4.777313209752131</v>
      </c>
      <c r="AR59">
        <f t="shared" si="15"/>
        <v>1.11878686790443</v>
      </c>
      <c r="AS59">
        <f t="shared" si="44"/>
        <v>0.12316230764304818</v>
      </c>
      <c r="AT59">
        <v>0.07</v>
      </c>
      <c r="AU59">
        <f t="shared" si="45"/>
        <v>0.12316230764304818</v>
      </c>
      <c r="AW59">
        <f t="shared" si="16"/>
        <v>6.811025821054993</v>
      </c>
      <c r="AX59">
        <f t="shared" si="17"/>
        <v>1.3222854531307033</v>
      </c>
      <c r="AY59">
        <f t="shared" si="46"/>
        <v>0.08429567489026482</v>
      </c>
      <c r="AZ59">
        <v>0.07</v>
      </c>
      <c r="BA59">
        <f t="shared" si="47"/>
        <v>0.08429567489026482</v>
      </c>
      <c r="BC59">
        <f t="shared" si="18"/>
        <v>10.357300493248442</v>
      </c>
      <c r="BD59">
        <f t="shared" si="19"/>
        <v>1.611013036536682</v>
      </c>
      <c r="BE59">
        <f t="shared" si="48"/>
        <v>0.05348199444474156</v>
      </c>
      <c r="BF59">
        <v>0.07</v>
      </c>
      <c r="BG59">
        <f t="shared" si="49"/>
        <v>0.05348199444474156</v>
      </c>
      <c r="BI59">
        <f t="shared" si="20"/>
        <v>17.127242080719306</v>
      </c>
      <c r="BJ59">
        <f t="shared" si="21"/>
        <v>2.041867969074457</v>
      </c>
      <c r="BK59">
        <f t="shared" si="50"/>
        <v>0.030581061428121694</v>
      </c>
      <c r="BL59">
        <v>0.07</v>
      </c>
      <c r="BM59">
        <f t="shared" si="51"/>
        <v>0.030581061428121694</v>
      </c>
      <c r="BO59">
        <f t="shared" si="22"/>
        <v>31.671651440175555</v>
      </c>
      <c r="BP59">
        <f t="shared" si="23"/>
        <v>2.727905243101414</v>
      </c>
      <c r="BQ59">
        <f t="shared" si="52"/>
        <v>0.015021213335892406</v>
      </c>
      <c r="BR59">
        <v>0.07</v>
      </c>
      <c r="BS59">
        <f t="shared" si="53"/>
        <v>0.015021213335892406</v>
      </c>
      <c r="BU59">
        <f t="shared" si="24"/>
        <v>68.29671269242061</v>
      </c>
      <c r="BV59">
        <f t="shared" si="25"/>
        <v>3.918152277900594</v>
      </c>
      <c r="BW59">
        <f t="shared" si="54"/>
        <v>0.005745947719538031</v>
      </c>
      <c r="BX59">
        <v>0.07</v>
      </c>
      <c r="BY59">
        <f t="shared" si="55"/>
        <v>0.005745947719538031</v>
      </c>
      <c r="CA59">
        <f t="shared" si="26"/>
        <v>183.4340946413366</v>
      </c>
      <c r="CB59">
        <f t="shared" si="27"/>
        <v>6.241119416736615</v>
      </c>
      <c r="CC59">
        <f t="shared" si="56"/>
        <v>0.0012528839923559494</v>
      </c>
      <c r="CD59">
        <v>0.07</v>
      </c>
      <c r="CE59">
        <f t="shared" si="57"/>
        <v>0.0012528839923559494</v>
      </c>
      <c r="CG59">
        <f t="shared" si="28"/>
        <v>684.8367760068995</v>
      </c>
      <c r="CH59">
        <f t="shared" si="29"/>
        <v>11.610138519235557</v>
      </c>
      <c r="CI59">
        <f t="shared" si="58"/>
        <v>-0.00021320364422867689</v>
      </c>
      <c r="CJ59">
        <v>0.07</v>
      </c>
      <c r="CK59">
        <f t="shared" si="59"/>
        <v>-0.00021320364422867689</v>
      </c>
    </row>
    <row r="60" spans="1:89" ht="15.75">
      <c r="A60">
        <f t="shared" si="0"/>
        <v>1.0771165719846167</v>
      </c>
      <c r="B60">
        <f t="shared" si="1"/>
        <v>0.5545240004946993</v>
      </c>
      <c r="C60">
        <f t="shared" si="30"/>
        <v>0.5777815476497118</v>
      </c>
      <c r="D60">
        <v>0.08</v>
      </c>
      <c r="E60">
        <f t="shared" si="31"/>
        <v>0.5777815476497118</v>
      </c>
      <c r="G60">
        <f t="shared" si="2"/>
        <v>1.2459355803870673</v>
      </c>
      <c r="H60">
        <f t="shared" si="3"/>
        <v>0.5939029318491669</v>
      </c>
      <c r="I60">
        <f t="shared" si="32"/>
        <v>0.4969661154228433</v>
      </c>
      <c r="J60">
        <v>0.08</v>
      </c>
      <c r="K60">
        <f t="shared" si="33"/>
        <v>0.4969661154228433</v>
      </c>
      <c r="M60">
        <f t="shared" si="4"/>
        <v>1.4647190981721883</v>
      </c>
      <c r="N60">
        <f t="shared" si="5"/>
        <v>0.6409455841557135</v>
      </c>
      <c r="O60">
        <f t="shared" si="34"/>
        <v>0.42016544608145423</v>
      </c>
      <c r="P60">
        <v>0.08</v>
      </c>
      <c r="Q60">
        <f t="shared" si="35"/>
        <v>0.42016544608145423</v>
      </c>
      <c r="S60">
        <f t="shared" si="6"/>
        <v>1.7550069325111373</v>
      </c>
      <c r="T60">
        <f t="shared" si="7"/>
        <v>0.6979457024640006</v>
      </c>
      <c r="U60">
        <f t="shared" si="36"/>
        <v>0.3480694762435096</v>
      </c>
      <c r="V60">
        <v>0.08</v>
      </c>
      <c r="W60">
        <f t="shared" si="37"/>
        <v>0.3480694762435096</v>
      </c>
      <c r="Y60">
        <f t="shared" si="8"/>
        <v>2.1508934145990133</v>
      </c>
      <c r="Z60">
        <f t="shared" si="9"/>
        <v>0.7681520163237816</v>
      </c>
      <c r="AA60">
        <f t="shared" si="38"/>
        <v>0.2813936918426674</v>
      </c>
      <c r="AB60">
        <v>0.08</v>
      </c>
      <c r="AC60">
        <f t="shared" si="39"/>
        <v>0.2813936918426674</v>
      </c>
      <c r="AE60">
        <f t="shared" si="10"/>
        <v>2.7085547408301465</v>
      </c>
      <c r="AF60">
        <f t="shared" si="11"/>
        <v>0.8562937692556124</v>
      </c>
      <c r="AG60">
        <f t="shared" si="40"/>
        <v>0.22085449832046197</v>
      </c>
      <c r="AH60">
        <v>0.08</v>
      </c>
      <c r="AI60">
        <f t="shared" si="41"/>
        <v>0.22085449832046197</v>
      </c>
      <c r="AK60">
        <f t="shared" si="12"/>
        <v>3.5249991772401073</v>
      </c>
      <c r="AL60">
        <f t="shared" si="13"/>
        <v>0.9694775701977635</v>
      </c>
      <c r="AM60">
        <f t="shared" si="42"/>
        <v>0.16713246294867126</v>
      </c>
      <c r="AN60">
        <v>0.08</v>
      </c>
      <c r="AO60">
        <f t="shared" si="43"/>
        <v>0.16713246294867126</v>
      </c>
      <c r="AQ60">
        <f t="shared" si="14"/>
        <v>4.777313209752131</v>
      </c>
      <c r="AR60">
        <f t="shared" si="15"/>
        <v>1.11878686790443</v>
      </c>
      <c r="AS60">
        <f t="shared" si="44"/>
        <v>0.12082043299765001</v>
      </c>
      <c r="AT60">
        <v>0.08</v>
      </c>
      <c r="AU60">
        <f t="shared" si="45"/>
        <v>0.12082043299765001</v>
      </c>
      <c r="AW60">
        <f t="shared" si="16"/>
        <v>6.811025821054993</v>
      </c>
      <c r="AX60">
        <f t="shared" si="17"/>
        <v>1.3222854531307033</v>
      </c>
      <c r="AY60">
        <f t="shared" si="46"/>
        <v>0.08235428531419964</v>
      </c>
      <c r="AZ60">
        <v>0.08</v>
      </c>
      <c r="BA60">
        <f t="shared" si="47"/>
        <v>0.08235428531419964</v>
      </c>
      <c r="BC60">
        <f t="shared" si="18"/>
        <v>10.357300493248442</v>
      </c>
      <c r="BD60">
        <f t="shared" si="19"/>
        <v>1.611013036536682</v>
      </c>
      <c r="BE60">
        <f t="shared" si="48"/>
        <v>0.05192655725569134</v>
      </c>
      <c r="BF60">
        <v>0.08</v>
      </c>
      <c r="BG60">
        <f t="shared" si="49"/>
        <v>0.05192655725569134</v>
      </c>
      <c r="BI60">
        <f t="shared" si="20"/>
        <v>17.127242080719306</v>
      </c>
      <c r="BJ60">
        <f t="shared" si="21"/>
        <v>2.041867969074457</v>
      </c>
      <c r="BK60">
        <f t="shared" si="50"/>
        <v>0.029388885852245968</v>
      </c>
      <c r="BL60">
        <v>0.08</v>
      </c>
      <c r="BM60">
        <f t="shared" si="51"/>
        <v>0.029388885852245968</v>
      </c>
      <c r="BO60">
        <f t="shared" si="22"/>
        <v>31.671651440175555</v>
      </c>
      <c r="BP60">
        <f t="shared" si="23"/>
        <v>2.727905243101414</v>
      </c>
      <c r="BQ60">
        <f t="shared" si="52"/>
        <v>0.014159905156792827</v>
      </c>
      <c r="BR60">
        <v>0.08</v>
      </c>
      <c r="BS60">
        <f t="shared" si="53"/>
        <v>0.014159905156792827</v>
      </c>
      <c r="BU60">
        <f t="shared" si="24"/>
        <v>68.29671269242061</v>
      </c>
      <c r="BV60">
        <f t="shared" si="25"/>
        <v>3.918152277900594</v>
      </c>
      <c r="BW60">
        <f t="shared" si="54"/>
        <v>0.005172252131062744</v>
      </c>
      <c r="BX60">
        <v>0.08</v>
      </c>
      <c r="BY60">
        <f t="shared" si="55"/>
        <v>0.005172252131062744</v>
      </c>
      <c r="CA60">
        <f t="shared" si="26"/>
        <v>183.4340946413366</v>
      </c>
      <c r="CB60">
        <f t="shared" si="27"/>
        <v>6.241119416736615</v>
      </c>
      <c r="CC60">
        <f t="shared" si="56"/>
        <v>0.0009126462939640723</v>
      </c>
      <c r="CD60">
        <v>0.08</v>
      </c>
      <c r="CE60">
        <f t="shared" si="57"/>
        <v>0.0009126462939640723</v>
      </c>
      <c r="CG60">
        <f t="shared" si="28"/>
        <v>684.8367760068995</v>
      </c>
      <c r="CH60">
        <f t="shared" si="29"/>
        <v>11.610138519235557</v>
      </c>
      <c r="CI60">
        <f t="shared" si="58"/>
        <v>-0.0003827351140035797</v>
      </c>
      <c r="CJ60">
        <v>0.08</v>
      </c>
      <c r="CK60">
        <f t="shared" si="59"/>
        <v>-0.0003827351140035797</v>
      </c>
    </row>
    <row r="61" spans="1:89" ht="15.75">
      <c r="A61">
        <f t="shared" si="0"/>
        <v>1.0771165719846167</v>
      </c>
      <c r="B61">
        <f t="shared" si="1"/>
        <v>0.5545240004946993</v>
      </c>
      <c r="C61">
        <f t="shared" si="30"/>
        <v>0.5726333212189089</v>
      </c>
      <c r="D61" s="74">
        <v>0.09</v>
      </c>
      <c r="E61">
        <f t="shared" si="31"/>
        <v>0.5726333212189089</v>
      </c>
      <c r="G61">
        <f t="shared" si="2"/>
        <v>1.2459355803870673</v>
      </c>
      <c r="H61">
        <f t="shared" si="3"/>
        <v>0.5939029318491669</v>
      </c>
      <c r="I61">
        <f t="shared" si="32"/>
        <v>0.4921993927993137</v>
      </c>
      <c r="J61">
        <v>0.09</v>
      </c>
      <c r="K61">
        <f t="shared" si="33"/>
        <v>0.4921993927993137</v>
      </c>
      <c r="M61">
        <f t="shared" si="4"/>
        <v>1.4647190981721883</v>
      </c>
      <c r="N61">
        <f t="shared" si="5"/>
        <v>0.6409455841557135</v>
      </c>
      <c r="O61">
        <f t="shared" si="34"/>
        <v>0.41578955185739763</v>
      </c>
      <c r="P61">
        <v>0.09</v>
      </c>
      <c r="Q61">
        <f t="shared" si="35"/>
        <v>0.41578955185739763</v>
      </c>
      <c r="S61">
        <f t="shared" si="6"/>
        <v>1.7550069325111373</v>
      </c>
      <c r="T61">
        <f t="shared" si="7"/>
        <v>0.6979457024640006</v>
      </c>
      <c r="U61">
        <f t="shared" si="36"/>
        <v>0.34409259336325027</v>
      </c>
      <c r="V61">
        <v>0.09</v>
      </c>
      <c r="W61">
        <f t="shared" si="37"/>
        <v>0.34409259336325027</v>
      </c>
      <c r="Y61">
        <f t="shared" si="8"/>
        <v>2.1508934145990133</v>
      </c>
      <c r="Z61">
        <f t="shared" si="9"/>
        <v>0.7681520163237816</v>
      </c>
      <c r="AA61">
        <f t="shared" si="38"/>
        <v>0.27782237579739055</v>
      </c>
      <c r="AB61">
        <v>0.09</v>
      </c>
      <c r="AC61">
        <f t="shared" si="39"/>
        <v>0.27782237579739055</v>
      </c>
      <c r="AE61">
        <f t="shared" si="10"/>
        <v>2.7085547408301465</v>
      </c>
      <c r="AF61">
        <f t="shared" si="11"/>
        <v>0.8562937692556124</v>
      </c>
      <c r="AG61">
        <f t="shared" si="40"/>
        <v>0.21769305669867234</v>
      </c>
      <c r="AH61">
        <v>0.09</v>
      </c>
      <c r="AI61">
        <f t="shared" si="41"/>
        <v>0.21769305669867234</v>
      </c>
      <c r="AK61">
        <f t="shared" si="12"/>
        <v>3.5249991772401073</v>
      </c>
      <c r="AL61">
        <f t="shared" si="13"/>
        <v>0.9694775701977635</v>
      </c>
      <c r="AM61">
        <f t="shared" si="42"/>
        <v>0.16438217132744934</v>
      </c>
      <c r="AN61">
        <v>0.09</v>
      </c>
      <c r="AO61">
        <f t="shared" si="43"/>
        <v>0.16438217132744934</v>
      </c>
      <c r="AQ61">
        <f t="shared" si="14"/>
        <v>4.777313209752131</v>
      </c>
      <c r="AR61">
        <f t="shared" si="15"/>
        <v>1.11878686790443</v>
      </c>
      <c r="AS61">
        <f t="shared" si="44"/>
        <v>0.11847855835225182</v>
      </c>
      <c r="AT61">
        <v>0.09</v>
      </c>
      <c r="AU61">
        <f t="shared" si="45"/>
        <v>0.11847855835225182</v>
      </c>
      <c r="AW61">
        <f t="shared" si="16"/>
        <v>6.811025821054993</v>
      </c>
      <c r="AX61">
        <f t="shared" si="17"/>
        <v>1.3222854531307033</v>
      </c>
      <c r="AY61">
        <f t="shared" si="46"/>
        <v>0.08041289573813444</v>
      </c>
      <c r="AZ61">
        <v>0.09</v>
      </c>
      <c r="BA61">
        <f t="shared" si="47"/>
        <v>0.08041289573813444</v>
      </c>
      <c r="BC61">
        <f t="shared" si="18"/>
        <v>10.357300493248442</v>
      </c>
      <c r="BD61">
        <f t="shared" si="19"/>
        <v>1.611013036536682</v>
      </c>
      <c r="BE61">
        <f t="shared" si="48"/>
        <v>0.05037112006664113</v>
      </c>
      <c r="BF61">
        <v>0.09</v>
      </c>
      <c r="BG61">
        <f t="shared" si="49"/>
        <v>0.05037112006664113</v>
      </c>
      <c r="BI61">
        <f t="shared" si="20"/>
        <v>17.127242080719306</v>
      </c>
      <c r="BJ61">
        <f t="shared" si="21"/>
        <v>2.041867969074457</v>
      </c>
      <c r="BK61">
        <f t="shared" si="50"/>
        <v>0.02819671027637024</v>
      </c>
      <c r="BL61">
        <v>0.09</v>
      </c>
      <c r="BM61">
        <f t="shared" si="51"/>
        <v>0.02819671027637024</v>
      </c>
      <c r="BO61">
        <f t="shared" si="22"/>
        <v>31.671651440175555</v>
      </c>
      <c r="BP61">
        <f t="shared" si="23"/>
        <v>2.727905243101414</v>
      </c>
      <c r="BQ61">
        <f t="shared" si="52"/>
        <v>0.01329859697769325</v>
      </c>
      <c r="BR61">
        <v>0.09</v>
      </c>
      <c r="BS61">
        <f t="shared" si="53"/>
        <v>0.01329859697769325</v>
      </c>
      <c r="BU61">
        <f t="shared" si="24"/>
        <v>68.29671269242061</v>
      </c>
      <c r="BV61">
        <f t="shared" si="25"/>
        <v>3.918152277900594</v>
      </c>
      <c r="BW61">
        <f t="shared" si="54"/>
        <v>0.004598556542587455</v>
      </c>
      <c r="BX61">
        <v>0.09</v>
      </c>
      <c r="BY61">
        <f t="shared" si="55"/>
        <v>0.004598556542587455</v>
      </c>
      <c r="CA61">
        <f t="shared" si="26"/>
        <v>183.4340946413366</v>
      </c>
      <c r="CB61">
        <f t="shared" si="27"/>
        <v>6.241119416736615</v>
      </c>
      <c r="CC61">
        <f t="shared" si="56"/>
        <v>0.0005724085955721949</v>
      </c>
      <c r="CD61">
        <v>0.09</v>
      </c>
      <c r="CE61">
        <f t="shared" si="57"/>
        <v>0.0005724085955721949</v>
      </c>
      <c r="CG61">
        <f t="shared" si="28"/>
        <v>684.8367760068995</v>
      </c>
      <c r="CH61">
        <f t="shared" si="29"/>
        <v>11.610138519235557</v>
      </c>
      <c r="CI61">
        <f t="shared" si="58"/>
        <v>-0.0005522665837784822</v>
      </c>
      <c r="CJ61">
        <v>0.09</v>
      </c>
      <c r="CK61">
        <f t="shared" si="59"/>
        <v>-0.0005522665837784822</v>
      </c>
    </row>
    <row r="62" spans="1:89" ht="15.75">
      <c r="A62">
        <f t="shared" si="0"/>
        <v>1.0771165719846167</v>
      </c>
      <c r="B62">
        <f t="shared" si="1"/>
        <v>0.5545240004946993</v>
      </c>
      <c r="C62">
        <f t="shared" si="30"/>
        <v>0.5674850947881059</v>
      </c>
      <c r="D62">
        <v>0.1</v>
      </c>
      <c r="E62">
        <f t="shared" si="31"/>
        <v>0.5674850947881059</v>
      </c>
      <c r="G62">
        <f t="shared" si="2"/>
        <v>1.2459355803870673</v>
      </c>
      <c r="H62">
        <f t="shared" si="3"/>
        <v>0.5939029318491669</v>
      </c>
      <c r="I62">
        <f t="shared" si="32"/>
        <v>0.48743267017578384</v>
      </c>
      <c r="J62">
        <v>0.1</v>
      </c>
      <c r="K62">
        <f t="shared" si="33"/>
        <v>0.48743267017578384</v>
      </c>
      <c r="M62">
        <f t="shared" si="4"/>
        <v>1.4647190981721883</v>
      </c>
      <c r="N62">
        <f t="shared" si="5"/>
        <v>0.6409455841557135</v>
      </c>
      <c r="O62">
        <f t="shared" si="34"/>
        <v>0.411413657633341</v>
      </c>
      <c r="P62">
        <v>0.1</v>
      </c>
      <c r="Q62">
        <f t="shared" si="35"/>
        <v>0.411413657633341</v>
      </c>
      <c r="S62">
        <f t="shared" si="6"/>
        <v>1.7550069325111373</v>
      </c>
      <c r="T62">
        <f t="shared" si="7"/>
        <v>0.6979457024640006</v>
      </c>
      <c r="U62">
        <f t="shared" si="36"/>
        <v>0.34011571048299094</v>
      </c>
      <c r="V62">
        <v>0.1</v>
      </c>
      <c r="W62">
        <f t="shared" si="37"/>
        <v>0.34011571048299094</v>
      </c>
      <c r="Y62">
        <f t="shared" si="8"/>
        <v>2.1508934145990133</v>
      </c>
      <c r="Z62">
        <f t="shared" si="9"/>
        <v>0.7681520163237816</v>
      </c>
      <c r="AA62">
        <f t="shared" si="38"/>
        <v>0.27425105975211367</v>
      </c>
      <c r="AB62">
        <v>0.1</v>
      </c>
      <c r="AC62">
        <f t="shared" si="39"/>
        <v>0.27425105975211367</v>
      </c>
      <c r="AE62">
        <f t="shared" si="10"/>
        <v>2.7085547408301465</v>
      </c>
      <c r="AF62">
        <f t="shared" si="11"/>
        <v>0.8562937692556124</v>
      </c>
      <c r="AG62">
        <f t="shared" si="40"/>
        <v>0.21453161507688268</v>
      </c>
      <c r="AH62">
        <v>0.1</v>
      </c>
      <c r="AI62">
        <f t="shared" si="41"/>
        <v>0.21453161507688268</v>
      </c>
      <c r="AK62">
        <f t="shared" si="12"/>
        <v>3.5249991772401073</v>
      </c>
      <c r="AL62">
        <f t="shared" si="13"/>
        <v>0.9694775701977635</v>
      </c>
      <c r="AM62">
        <f t="shared" si="42"/>
        <v>0.16163187970622742</v>
      </c>
      <c r="AN62">
        <v>0.1</v>
      </c>
      <c r="AO62">
        <f t="shared" si="43"/>
        <v>0.16163187970622742</v>
      </c>
      <c r="AQ62">
        <f t="shared" si="14"/>
        <v>4.777313209752131</v>
      </c>
      <c r="AR62">
        <f t="shared" si="15"/>
        <v>1.11878686790443</v>
      </c>
      <c r="AS62">
        <f t="shared" si="44"/>
        <v>0.11613668370685365</v>
      </c>
      <c r="AT62">
        <v>0.1</v>
      </c>
      <c r="AU62">
        <f t="shared" si="45"/>
        <v>0.11613668370685365</v>
      </c>
      <c r="AW62">
        <f t="shared" si="16"/>
        <v>6.811025821054993</v>
      </c>
      <c r="AX62">
        <f t="shared" si="17"/>
        <v>1.3222854531307033</v>
      </c>
      <c r="AY62">
        <f t="shared" si="46"/>
        <v>0.07847150616206924</v>
      </c>
      <c r="AZ62">
        <v>0.1</v>
      </c>
      <c r="BA62">
        <f t="shared" si="47"/>
        <v>0.07847150616206924</v>
      </c>
      <c r="BC62">
        <f t="shared" si="18"/>
        <v>10.357300493248442</v>
      </c>
      <c r="BD62">
        <f t="shared" si="19"/>
        <v>1.611013036536682</v>
      </c>
      <c r="BE62">
        <f t="shared" si="48"/>
        <v>0.048815682877590895</v>
      </c>
      <c r="BF62">
        <v>0.1</v>
      </c>
      <c r="BG62">
        <f t="shared" si="49"/>
        <v>0.048815682877590895</v>
      </c>
      <c r="BI62">
        <f t="shared" si="20"/>
        <v>17.127242080719306</v>
      </c>
      <c r="BJ62">
        <f t="shared" si="21"/>
        <v>2.041867969074457</v>
      </c>
      <c r="BK62">
        <f t="shared" si="50"/>
        <v>0.02700453470049451</v>
      </c>
      <c r="BL62">
        <v>0.1</v>
      </c>
      <c r="BM62">
        <f t="shared" si="51"/>
        <v>0.02700453470049451</v>
      </c>
      <c r="BO62">
        <f t="shared" si="22"/>
        <v>31.671651440175555</v>
      </c>
      <c r="BP62">
        <f t="shared" si="23"/>
        <v>2.727905243101414</v>
      </c>
      <c r="BQ62">
        <f t="shared" si="52"/>
        <v>0.012437288798593672</v>
      </c>
      <c r="BR62">
        <v>0.1</v>
      </c>
      <c r="BS62">
        <f t="shared" si="53"/>
        <v>0.012437288798593672</v>
      </c>
      <c r="BU62">
        <f t="shared" si="24"/>
        <v>68.29671269242061</v>
      </c>
      <c r="BV62">
        <f t="shared" si="25"/>
        <v>3.918152277900594</v>
      </c>
      <c r="BW62">
        <f t="shared" si="54"/>
        <v>0.004024860954112166</v>
      </c>
      <c r="BX62">
        <v>0.1</v>
      </c>
      <c r="BY62">
        <f t="shared" si="55"/>
        <v>0.004024860954112166</v>
      </c>
      <c r="CA62">
        <f t="shared" si="26"/>
        <v>183.4340946413366</v>
      </c>
      <c r="CB62">
        <f t="shared" si="27"/>
        <v>6.241119416736615</v>
      </c>
      <c r="CC62">
        <f t="shared" si="56"/>
        <v>0.00023217089718031747</v>
      </c>
      <c r="CD62">
        <v>0.1</v>
      </c>
      <c r="CE62">
        <f t="shared" si="57"/>
        <v>0.00023217089718031747</v>
      </c>
      <c r="CG62">
        <f t="shared" si="28"/>
        <v>684.8367760068995</v>
      </c>
      <c r="CH62">
        <f t="shared" si="29"/>
        <v>11.610138519235557</v>
      </c>
      <c r="CI62">
        <f t="shared" si="58"/>
        <v>-0.0007217980535533853</v>
      </c>
      <c r="CJ62">
        <v>0.1</v>
      </c>
      <c r="CK62">
        <f t="shared" si="59"/>
        <v>-0.0007217980535533853</v>
      </c>
    </row>
    <row r="63" spans="1:89" ht="15.75">
      <c r="A63">
        <f t="shared" si="0"/>
        <v>1.0771165719846167</v>
      </c>
      <c r="B63">
        <f t="shared" si="1"/>
        <v>0.5545240004946993</v>
      </c>
      <c r="C63">
        <f t="shared" si="30"/>
        <v>0.5623368683573031</v>
      </c>
      <c r="D63">
        <v>0.11</v>
      </c>
      <c r="E63">
        <f t="shared" si="31"/>
        <v>0.5623368683573031</v>
      </c>
      <c r="G63">
        <f t="shared" si="2"/>
        <v>1.2459355803870673</v>
      </c>
      <c r="H63">
        <f t="shared" si="3"/>
        <v>0.5939029318491669</v>
      </c>
      <c r="I63">
        <f t="shared" si="32"/>
        <v>0.48266594755225417</v>
      </c>
      <c r="J63">
        <v>0.11</v>
      </c>
      <c r="K63">
        <f t="shared" si="33"/>
        <v>0.48266594755225417</v>
      </c>
      <c r="M63">
        <f t="shared" si="4"/>
        <v>1.4647190981721883</v>
      </c>
      <c r="N63">
        <f t="shared" si="5"/>
        <v>0.6409455841557135</v>
      </c>
      <c r="O63">
        <f t="shared" si="34"/>
        <v>0.4070377634092843</v>
      </c>
      <c r="P63">
        <v>0.11</v>
      </c>
      <c r="Q63">
        <f t="shared" si="35"/>
        <v>0.4070377634092843</v>
      </c>
      <c r="S63">
        <f t="shared" si="6"/>
        <v>1.7550069325111373</v>
      </c>
      <c r="T63">
        <f t="shared" si="7"/>
        <v>0.6979457024640006</v>
      </c>
      <c r="U63">
        <f t="shared" si="36"/>
        <v>0.3361388276027315</v>
      </c>
      <c r="V63">
        <v>0.11</v>
      </c>
      <c r="W63">
        <f t="shared" si="37"/>
        <v>0.3361388276027315</v>
      </c>
      <c r="Y63">
        <f t="shared" si="8"/>
        <v>2.1508934145990133</v>
      </c>
      <c r="Z63">
        <f t="shared" si="9"/>
        <v>0.7681520163237816</v>
      </c>
      <c r="AA63">
        <f t="shared" si="38"/>
        <v>0.2706797437068368</v>
      </c>
      <c r="AB63">
        <v>0.11</v>
      </c>
      <c r="AC63">
        <f t="shared" si="39"/>
        <v>0.2706797437068368</v>
      </c>
      <c r="AE63">
        <f t="shared" si="10"/>
        <v>2.7085547408301465</v>
      </c>
      <c r="AF63">
        <f t="shared" si="11"/>
        <v>0.8562937692556124</v>
      </c>
      <c r="AG63">
        <f t="shared" si="40"/>
        <v>0.211370173455093</v>
      </c>
      <c r="AH63">
        <v>0.11</v>
      </c>
      <c r="AI63">
        <f t="shared" si="41"/>
        <v>0.211370173455093</v>
      </c>
      <c r="AK63">
        <f t="shared" si="12"/>
        <v>3.5249991772401073</v>
      </c>
      <c r="AL63">
        <f t="shared" si="13"/>
        <v>0.9694775701977635</v>
      </c>
      <c r="AM63">
        <f t="shared" si="42"/>
        <v>0.1588815880850055</v>
      </c>
      <c r="AN63">
        <v>0.11</v>
      </c>
      <c r="AO63">
        <f t="shared" si="43"/>
        <v>0.1588815880850055</v>
      </c>
      <c r="AQ63">
        <f t="shared" si="14"/>
        <v>4.777313209752131</v>
      </c>
      <c r="AR63">
        <f t="shared" si="15"/>
        <v>1.11878686790443</v>
      </c>
      <c r="AS63">
        <f t="shared" si="44"/>
        <v>0.11379480906145546</v>
      </c>
      <c r="AT63">
        <v>0.11</v>
      </c>
      <c r="AU63">
        <f t="shared" si="45"/>
        <v>0.11379480906145546</v>
      </c>
      <c r="AW63">
        <f t="shared" si="16"/>
        <v>6.811025821054993</v>
      </c>
      <c r="AX63">
        <f t="shared" si="17"/>
        <v>1.3222854531307033</v>
      </c>
      <c r="AY63">
        <f t="shared" si="46"/>
        <v>0.07653011658600406</v>
      </c>
      <c r="AZ63">
        <v>0.11</v>
      </c>
      <c r="BA63">
        <f t="shared" si="47"/>
        <v>0.07653011658600406</v>
      </c>
      <c r="BC63">
        <f t="shared" si="18"/>
        <v>10.357300493248442</v>
      </c>
      <c r="BD63">
        <f t="shared" si="19"/>
        <v>1.611013036536682</v>
      </c>
      <c r="BE63">
        <f t="shared" si="48"/>
        <v>0.04726024568854068</v>
      </c>
      <c r="BF63">
        <v>0.11</v>
      </c>
      <c r="BG63">
        <f t="shared" si="49"/>
        <v>0.04726024568854068</v>
      </c>
      <c r="BI63">
        <f t="shared" si="20"/>
        <v>17.127242080719306</v>
      </c>
      <c r="BJ63">
        <f t="shared" si="21"/>
        <v>2.041867969074457</v>
      </c>
      <c r="BK63">
        <f t="shared" si="50"/>
        <v>0.025812359124618777</v>
      </c>
      <c r="BL63">
        <v>0.11</v>
      </c>
      <c r="BM63">
        <f t="shared" si="51"/>
        <v>0.025812359124618777</v>
      </c>
      <c r="BO63">
        <f t="shared" si="22"/>
        <v>31.671651440175555</v>
      </c>
      <c r="BP63">
        <f t="shared" si="23"/>
        <v>2.727905243101414</v>
      </c>
      <c r="BQ63">
        <f t="shared" si="52"/>
        <v>0.011575980619494095</v>
      </c>
      <c r="BR63">
        <v>0.11</v>
      </c>
      <c r="BS63">
        <f t="shared" si="53"/>
        <v>0.011575980619494095</v>
      </c>
      <c r="BU63">
        <f t="shared" si="24"/>
        <v>68.29671269242061</v>
      </c>
      <c r="BV63">
        <f t="shared" si="25"/>
        <v>3.918152277900594</v>
      </c>
      <c r="BW63">
        <f t="shared" si="54"/>
        <v>0.0034511653656368784</v>
      </c>
      <c r="BX63">
        <v>0.11</v>
      </c>
      <c r="BY63">
        <f t="shared" si="55"/>
        <v>0.0034511653656368784</v>
      </c>
      <c r="CA63">
        <f t="shared" si="26"/>
        <v>183.4340946413366</v>
      </c>
      <c r="CB63">
        <f t="shared" si="27"/>
        <v>6.241119416736615</v>
      </c>
      <c r="CC63">
        <f t="shared" si="56"/>
        <v>-0.00010806680121155933</v>
      </c>
      <c r="CD63">
        <v>0.11</v>
      </c>
      <c r="CE63">
        <f t="shared" si="57"/>
        <v>-0.00010806680121155933</v>
      </c>
      <c r="CG63">
        <f t="shared" si="28"/>
        <v>684.8367760068995</v>
      </c>
      <c r="CH63">
        <f t="shared" si="29"/>
        <v>11.610138519235557</v>
      </c>
      <c r="CI63">
        <f t="shared" si="58"/>
        <v>-0.0008913295233282881</v>
      </c>
      <c r="CJ63">
        <v>0.11</v>
      </c>
      <c r="CK63">
        <f t="shared" si="59"/>
        <v>-0.0008913295233282881</v>
      </c>
    </row>
    <row r="64" spans="1:89" ht="15.75">
      <c r="A64">
        <f t="shared" si="0"/>
        <v>1.0771165719846167</v>
      </c>
      <c r="B64">
        <f t="shared" si="1"/>
        <v>0.5545240004946993</v>
      </c>
      <c r="C64">
        <f t="shared" si="30"/>
        <v>0.5571886419265002</v>
      </c>
      <c r="D64">
        <v>0.12</v>
      </c>
      <c r="E64">
        <f t="shared" si="31"/>
        <v>0.5571886419265002</v>
      </c>
      <c r="G64">
        <f t="shared" si="2"/>
        <v>1.2459355803870673</v>
      </c>
      <c r="H64">
        <f t="shared" si="3"/>
        <v>0.5939029318491669</v>
      </c>
      <c r="I64">
        <f t="shared" si="32"/>
        <v>0.47789922492872444</v>
      </c>
      <c r="J64">
        <v>0.12</v>
      </c>
      <c r="K64">
        <f t="shared" si="33"/>
        <v>0.47789922492872444</v>
      </c>
      <c r="M64">
        <f t="shared" si="4"/>
        <v>1.4647190981721883</v>
      </c>
      <c r="N64">
        <f t="shared" si="5"/>
        <v>0.6409455841557135</v>
      </c>
      <c r="O64">
        <f t="shared" si="34"/>
        <v>0.40266186918522767</v>
      </c>
      <c r="P64">
        <v>0.12</v>
      </c>
      <c r="Q64">
        <f t="shared" si="35"/>
        <v>0.40266186918522767</v>
      </c>
      <c r="S64">
        <f t="shared" si="6"/>
        <v>1.7550069325111373</v>
      </c>
      <c r="T64">
        <f t="shared" si="7"/>
        <v>0.6979457024640006</v>
      </c>
      <c r="U64">
        <f t="shared" si="36"/>
        <v>0.3321619447224722</v>
      </c>
      <c r="V64">
        <v>0.12</v>
      </c>
      <c r="W64">
        <f t="shared" si="37"/>
        <v>0.3321619447224722</v>
      </c>
      <c r="Y64">
        <f t="shared" si="8"/>
        <v>2.1508934145990133</v>
      </c>
      <c r="Z64">
        <f t="shared" si="9"/>
        <v>0.7681520163237816</v>
      </c>
      <c r="AA64">
        <f t="shared" si="38"/>
        <v>0.2671084276615599</v>
      </c>
      <c r="AB64">
        <v>0.12</v>
      </c>
      <c r="AC64">
        <f t="shared" si="39"/>
        <v>0.2671084276615599</v>
      </c>
      <c r="AE64">
        <f t="shared" si="10"/>
        <v>2.7085547408301465</v>
      </c>
      <c r="AF64">
        <f t="shared" si="11"/>
        <v>0.8562937692556124</v>
      </c>
      <c r="AG64">
        <f t="shared" si="40"/>
        <v>0.20820873183330335</v>
      </c>
      <c r="AH64">
        <v>0.12</v>
      </c>
      <c r="AI64">
        <f t="shared" si="41"/>
        <v>0.20820873183330335</v>
      </c>
      <c r="AK64">
        <f t="shared" si="12"/>
        <v>3.5249991772401073</v>
      </c>
      <c r="AL64">
        <f t="shared" si="13"/>
        <v>0.9694775701977635</v>
      </c>
      <c r="AM64">
        <f t="shared" si="42"/>
        <v>0.15613129646378357</v>
      </c>
      <c r="AN64">
        <v>0.12</v>
      </c>
      <c r="AO64">
        <f t="shared" si="43"/>
        <v>0.15613129646378357</v>
      </c>
      <c r="AQ64">
        <f t="shared" si="14"/>
        <v>4.777313209752131</v>
      </c>
      <c r="AR64">
        <f t="shared" si="15"/>
        <v>1.11878686790443</v>
      </c>
      <c r="AS64">
        <f t="shared" si="44"/>
        <v>0.11145293441605729</v>
      </c>
      <c r="AT64">
        <v>0.12</v>
      </c>
      <c r="AU64">
        <f t="shared" si="45"/>
        <v>0.11145293441605729</v>
      </c>
      <c r="AW64">
        <f t="shared" si="16"/>
        <v>6.811025821054993</v>
      </c>
      <c r="AX64">
        <f t="shared" si="17"/>
        <v>1.3222854531307033</v>
      </c>
      <c r="AY64">
        <f t="shared" si="46"/>
        <v>0.07458872700993886</v>
      </c>
      <c r="AZ64">
        <v>0.12</v>
      </c>
      <c r="BA64">
        <f t="shared" si="47"/>
        <v>0.07458872700993886</v>
      </c>
      <c r="BC64">
        <f t="shared" si="18"/>
        <v>10.357300493248442</v>
      </c>
      <c r="BD64">
        <f t="shared" si="19"/>
        <v>1.611013036536682</v>
      </c>
      <c r="BE64">
        <f t="shared" si="48"/>
        <v>0.04570480849949046</v>
      </c>
      <c r="BF64">
        <v>0.12</v>
      </c>
      <c r="BG64">
        <f t="shared" si="49"/>
        <v>0.04570480849949046</v>
      </c>
      <c r="BI64">
        <f t="shared" si="20"/>
        <v>17.127242080719306</v>
      </c>
      <c r="BJ64">
        <f t="shared" si="21"/>
        <v>2.041867969074457</v>
      </c>
      <c r="BK64">
        <f t="shared" si="50"/>
        <v>0.02462018354874305</v>
      </c>
      <c r="BL64">
        <v>0.12</v>
      </c>
      <c r="BM64">
        <f t="shared" si="51"/>
        <v>0.02462018354874305</v>
      </c>
      <c r="BO64">
        <f t="shared" si="22"/>
        <v>31.671651440175555</v>
      </c>
      <c r="BP64">
        <f t="shared" si="23"/>
        <v>2.727905243101414</v>
      </c>
      <c r="BQ64">
        <f t="shared" si="52"/>
        <v>0.010714672440394516</v>
      </c>
      <c r="BR64">
        <v>0.12</v>
      </c>
      <c r="BS64">
        <f t="shared" si="53"/>
        <v>0.010714672440394516</v>
      </c>
      <c r="BU64">
        <f t="shared" si="24"/>
        <v>68.29671269242061</v>
      </c>
      <c r="BV64">
        <f t="shared" si="25"/>
        <v>3.918152277900594</v>
      </c>
      <c r="BW64">
        <f t="shared" si="54"/>
        <v>0.00287746977716159</v>
      </c>
      <c r="BX64">
        <v>0.12</v>
      </c>
      <c r="BY64">
        <f t="shared" si="55"/>
        <v>0.00287746977716159</v>
      </c>
      <c r="CA64">
        <f t="shared" si="26"/>
        <v>183.4340946413366</v>
      </c>
      <c r="CB64">
        <f t="shared" si="27"/>
        <v>6.241119416736615</v>
      </c>
      <c r="CC64">
        <f t="shared" si="56"/>
        <v>-0.00044830449960343676</v>
      </c>
      <c r="CD64">
        <v>0.12</v>
      </c>
      <c r="CE64">
        <f t="shared" si="57"/>
        <v>-0.00044830449960343676</v>
      </c>
      <c r="CG64">
        <f t="shared" si="28"/>
        <v>684.8367760068995</v>
      </c>
      <c r="CH64">
        <f t="shared" si="29"/>
        <v>11.610138519235557</v>
      </c>
      <c r="CI64">
        <f t="shared" si="58"/>
        <v>-0.0010608609931031907</v>
      </c>
      <c r="CJ64">
        <v>0.12</v>
      </c>
      <c r="CK64">
        <f t="shared" si="59"/>
        <v>-0.0010608609931031907</v>
      </c>
    </row>
    <row r="65" spans="1:89" ht="15.75">
      <c r="A65">
        <f t="shared" si="0"/>
        <v>1.0771165719846167</v>
      </c>
      <c r="B65">
        <f t="shared" si="1"/>
        <v>0.5545240004946993</v>
      </c>
      <c r="C65">
        <f t="shared" si="30"/>
        <v>0.5520404154956974</v>
      </c>
      <c r="D65">
        <v>0.13</v>
      </c>
      <c r="E65">
        <f t="shared" si="31"/>
        <v>0.5520404154956974</v>
      </c>
      <c r="G65">
        <f t="shared" si="2"/>
        <v>1.2459355803870673</v>
      </c>
      <c r="H65">
        <f t="shared" si="3"/>
        <v>0.5939029318491669</v>
      </c>
      <c r="I65">
        <f t="shared" si="32"/>
        <v>0.4731325023051947</v>
      </c>
      <c r="J65">
        <v>0.13</v>
      </c>
      <c r="K65">
        <f t="shared" si="33"/>
        <v>0.4731325023051947</v>
      </c>
      <c r="M65">
        <f t="shared" si="4"/>
        <v>1.4647190981721883</v>
      </c>
      <c r="N65">
        <f t="shared" si="5"/>
        <v>0.6409455841557135</v>
      </c>
      <c r="O65">
        <f t="shared" si="34"/>
        <v>0.3982859749611711</v>
      </c>
      <c r="P65">
        <v>0.13</v>
      </c>
      <c r="Q65">
        <f t="shared" si="35"/>
        <v>0.3982859749611711</v>
      </c>
      <c r="S65">
        <f t="shared" si="6"/>
        <v>1.7550069325111373</v>
      </c>
      <c r="T65">
        <f t="shared" si="7"/>
        <v>0.6979457024640006</v>
      </c>
      <c r="U65">
        <f t="shared" si="36"/>
        <v>0.32818506184221286</v>
      </c>
      <c r="V65">
        <v>0.13</v>
      </c>
      <c r="W65">
        <f t="shared" si="37"/>
        <v>0.32818506184221286</v>
      </c>
      <c r="Y65">
        <f t="shared" si="8"/>
        <v>2.1508934145990133</v>
      </c>
      <c r="Z65">
        <f t="shared" si="9"/>
        <v>0.7681520163237816</v>
      </c>
      <c r="AA65">
        <f t="shared" si="38"/>
        <v>0.26353711161628307</v>
      </c>
      <c r="AB65">
        <v>0.13</v>
      </c>
      <c r="AC65">
        <f t="shared" si="39"/>
        <v>0.26353711161628307</v>
      </c>
      <c r="AE65">
        <f t="shared" si="10"/>
        <v>2.7085547408301465</v>
      </c>
      <c r="AF65">
        <f t="shared" si="11"/>
        <v>0.8562937692556124</v>
      </c>
      <c r="AG65">
        <f t="shared" si="40"/>
        <v>0.20504729021151372</v>
      </c>
      <c r="AH65">
        <v>0.13</v>
      </c>
      <c r="AI65">
        <f t="shared" si="41"/>
        <v>0.20504729021151372</v>
      </c>
      <c r="AK65">
        <f t="shared" si="12"/>
        <v>3.5249991772401073</v>
      </c>
      <c r="AL65">
        <f t="shared" si="13"/>
        <v>0.9694775701977635</v>
      </c>
      <c r="AM65">
        <f t="shared" si="42"/>
        <v>0.15338100484256162</v>
      </c>
      <c r="AN65">
        <v>0.13</v>
      </c>
      <c r="AO65">
        <f t="shared" si="43"/>
        <v>0.15338100484256162</v>
      </c>
      <c r="AQ65">
        <f t="shared" si="14"/>
        <v>4.777313209752131</v>
      </c>
      <c r="AR65">
        <f t="shared" si="15"/>
        <v>1.11878686790443</v>
      </c>
      <c r="AS65">
        <f t="shared" si="44"/>
        <v>0.1091110597706591</v>
      </c>
      <c r="AT65">
        <v>0.13</v>
      </c>
      <c r="AU65">
        <f t="shared" si="45"/>
        <v>0.1091110597706591</v>
      </c>
      <c r="AW65">
        <f t="shared" si="16"/>
        <v>6.811025821054993</v>
      </c>
      <c r="AX65">
        <f t="shared" si="17"/>
        <v>1.3222854531307033</v>
      </c>
      <c r="AY65">
        <f t="shared" si="46"/>
        <v>0.07264733743387367</v>
      </c>
      <c r="AZ65">
        <v>0.13</v>
      </c>
      <c r="BA65">
        <f t="shared" si="47"/>
        <v>0.07264733743387367</v>
      </c>
      <c r="BC65">
        <f t="shared" si="18"/>
        <v>10.357300493248442</v>
      </c>
      <c r="BD65">
        <f t="shared" si="19"/>
        <v>1.611013036536682</v>
      </c>
      <c r="BE65">
        <f t="shared" si="48"/>
        <v>0.04414937131044024</v>
      </c>
      <c r="BF65">
        <v>0.13</v>
      </c>
      <c r="BG65">
        <f t="shared" si="49"/>
        <v>0.04414937131044024</v>
      </c>
      <c r="BI65">
        <f t="shared" si="20"/>
        <v>17.127242080719306</v>
      </c>
      <c r="BJ65">
        <f t="shared" si="21"/>
        <v>2.041867969074457</v>
      </c>
      <c r="BK65">
        <f t="shared" si="50"/>
        <v>0.02342800797286732</v>
      </c>
      <c r="BL65">
        <v>0.13</v>
      </c>
      <c r="BM65">
        <f t="shared" si="51"/>
        <v>0.02342800797286732</v>
      </c>
      <c r="BO65">
        <f t="shared" si="22"/>
        <v>31.671651440175555</v>
      </c>
      <c r="BP65">
        <f t="shared" si="23"/>
        <v>2.727905243101414</v>
      </c>
      <c r="BQ65">
        <f t="shared" si="52"/>
        <v>0.009853364261294937</v>
      </c>
      <c r="BR65">
        <v>0.13</v>
      </c>
      <c r="BS65">
        <f t="shared" si="53"/>
        <v>0.009853364261294937</v>
      </c>
      <c r="BU65">
        <f t="shared" si="24"/>
        <v>68.29671269242061</v>
      </c>
      <c r="BV65">
        <f t="shared" si="25"/>
        <v>3.918152277900594</v>
      </c>
      <c r="BW65">
        <f t="shared" si="54"/>
        <v>0.002303774188686301</v>
      </c>
      <c r="BX65">
        <v>0.13</v>
      </c>
      <c r="BY65">
        <f t="shared" si="55"/>
        <v>0.002303774188686301</v>
      </c>
      <c r="CA65">
        <f t="shared" si="26"/>
        <v>183.4340946413366</v>
      </c>
      <c r="CB65">
        <f t="shared" si="27"/>
        <v>6.241119416736615</v>
      </c>
      <c r="CC65">
        <f t="shared" si="56"/>
        <v>-0.0007885421979953142</v>
      </c>
      <c r="CD65">
        <v>0.13</v>
      </c>
      <c r="CE65">
        <f t="shared" si="57"/>
        <v>-0.0007885421979953142</v>
      </c>
      <c r="CG65">
        <f t="shared" si="28"/>
        <v>684.8367760068995</v>
      </c>
      <c r="CH65">
        <f t="shared" si="29"/>
        <v>11.610138519235557</v>
      </c>
      <c r="CI65">
        <f t="shared" si="58"/>
        <v>-0.0012303924628780938</v>
      </c>
      <c r="CJ65">
        <v>0.13</v>
      </c>
      <c r="CK65">
        <f t="shared" si="59"/>
        <v>-0.0012303924628780938</v>
      </c>
    </row>
    <row r="66" spans="1:89" ht="15.75">
      <c r="A66">
        <f t="shared" si="0"/>
        <v>1.0771165719846167</v>
      </c>
      <c r="B66">
        <f t="shared" si="1"/>
        <v>0.5545240004946993</v>
      </c>
      <c r="C66">
        <f t="shared" si="30"/>
        <v>0.5468921890648945</v>
      </c>
      <c r="D66">
        <v>0.14</v>
      </c>
      <c r="E66">
        <f t="shared" si="31"/>
        <v>0.5468921890648945</v>
      </c>
      <c r="G66">
        <f t="shared" si="2"/>
        <v>1.2459355803870673</v>
      </c>
      <c r="H66">
        <f t="shared" si="3"/>
        <v>0.5939029318491669</v>
      </c>
      <c r="I66">
        <f t="shared" si="32"/>
        <v>0.468365779681665</v>
      </c>
      <c r="J66">
        <v>0.14</v>
      </c>
      <c r="K66">
        <f t="shared" si="33"/>
        <v>0.468365779681665</v>
      </c>
      <c r="M66">
        <f t="shared" si="4"/>
        <v>1.4647190981721883</v>
      </c>
      <c r="N66">
        <f t="shared" si="5"/>
        <v>0.6409455841557135</v>
      </c>
      <c r="O66">
        <f t="shared" si="34"/>
        <v>0.3939100807371144</v>
      </c>
      <c r="P66">
        <v>0.14</v>
      </c>
      <c r="Q66">
        <f t="shared" si="35"/>
        <v>0.3939100807371144</v>
      </c>
      <c r="S66">
        <f t="shared" si="6"/>
        <v>1.7550069325111373</v>
      </c>
      <c r="T66">
        <f t="shared" si="7"/>
        <v>0.6979457024640006</v>
      </c>
      <c r="U66">
        <f t="shared" si="36"/>
        <v>0.32420817896195353</v>
      </c>
      <c r="V66">
        <v>0.14</v>
      </c>
      <c r="W66">
        <f t="shared" si="37"/>
        <v>0.32420817896195353</v>
      </c>
      <c r="Y66">
        <f t="shared" si="8"/>
        <v>2.1508934145990133</v>
      </c>
      <c r="Z66">
        <f t="shared" si="9"/>
        <v>0.7681520163237816</v>
      </c>
      <c r="AA66">
        <f t="shared" si="38"/>
        <v>0.2599657955710062</v>
      </c>
      <c r="AB66">
        <v>0.14</v>
      </c>
      <c r="AC66">
        <f t="shared" si="39"/>
        <v>0.2599657955710062</v>
      </c>
      <c r="AE66">
        <f t="shared" si="10"/>
        <v>2.7085547408301465</v>
      </c>
      <c r="AF66">
        <f t="shared" si="11"/>
        <v>0.8562937692556124</v>
      </c>
      <c r="AG66">
        <f t="shared" si="40"/>
        <v>0.20188584858972405</v>
      </c>
      <c r="AH66">
        <v>0.14</v>
      </c>
      <c r="AI66">
        <f t="shared" si="41"/>
        <v>0.20188584858972405</v>
      </c>
      <c r="AK66">
        <f t="shared" si="12"/>
        <v>3.5249991772401073</v>
      </c>
      <c r="AL66">
        <f t="shared" si="13"/>
        <v>0.9694775701977635</v>
      </c>
      <c r="AM66">
        <f t="shared" si="42"/>
        <v>0.1506307132213397</v>
      </c>
      <c r="AN66">
        <v>0.14</v>
      </c>
      <c r="AO66">
        <f t="shared" si="43"/>
        <v>0.1506307132213397</v>
      </c>
      <c r="AQ66">
        <f t="shared" si="14"/>
        <v>4.777313209752131</v>
      </c>
      <c r="AR66">
        <f t="shared" si="15"/>
        <v>1.11878686790443</v>
      </c>
      <c r="AS66">
        <f t="shared" si="44"/>
        <v>0.10676918512526093</v>
      </c>
      <c r="AT66">
        <v>0.14</v>
      </c>
      <c r="AU66">
        <f t="shared" si="45"/>
        <v>0.10676918512526093</v>
      </c>
      <c r="AW66">
        <f t="shared" si="16"/>
        <v>6.811025821054993</v>
      </c>
      <c r="AX66">
        <f t="shared" si="17"/>
        <v>1.3222854531307033</v>
      </c>
      <c r="AY66">
        <f t="shared" si="46"/>
        <v>0.07070594785780847</v>
      </c>
      <c r="AZ66">
        <v>0.14</v>
      </c>
      <c r="BA66">
        <f t="shared" si="47"/>
        <v>0.07070594785780847</v>
      </c>
      <c r="BC66">
        <f t="shared" si="18"/>
        <v>10.357300493248442</v>
      </c>
      <c r="BD66">
        <f t="shared" si="19"/>
        <v>1.611013036536682</v>
      </c>
      <c r="BE66">
        <f t="shared" si="48"/>
        <v>0.042593934121390016</v>
      </c>
      <c r="BF66">
        <v>0.14</v>
      </c>
      <c r="BG66">
        <f t="shared" si="49"/>
        <v>0.042593934121390016</v>
      </c>
      <c r="BI66">
        <f t="shared" si="20"/>
        <v>17.127242080719306</v>
      </c>
      <c r="BJ66">
        <f t="shared" si="21"/>
        <v>2.041867969074457</v>
      </c>
      <c r="BK66">
        <f t="shared" si="50"/>
        <v>0.02223583239699159</v>
      </c>
      <c r="BL66">
        <v>0.14</v>
      </c>
      <c r="BM66">
        <f t="shared" si="51"/>
        <v>0.02223583239699159</v>
      </c>
      <c r="BO66">
        <f t="shared" si="22"/>
        <v>31.671651440175555</v>
      </c>
      <c r="BP66">
        <f t="shared" si="23"/>
        <v>2.727905243101414</v>
      </c>
      <c r="BQ66">
        <f t="shared" si="52"/>
        <v>0.008992056082195358</v>
      </c>
      <c r="BR66">
        <v>0.14</v>
      </c>
      <c r="BS66">
        <f t="shared" si="53"/>
        <v>0.008992056082195358</v>
      </c>
      <c r="BU66">
        <f t="shared" si="24"/>
        <v>68.29671269242061</v>
      </c>
      <c r="BV66">
        <f t="shared" si="25"/>
        <v>3.918152277900594</v>
      </c>
      <c r="BW66">
        <f t="shared" si="54"/>
        <v>0.0017300786002110119</v>
      </c>
      <c r="BX66">
        <v>0.14</v>
      </c>
      <c r="BY66">
        <f t="shared" si="55"/>
        <v>0.0017300786002110119</v>
      </c>
      <c r="CA66">
        <f t="shared" si="26"/>
        <v>183.4340946413366</v>
      </c>
      <c r="CB66">
        <f t="shared" si="27"/>
        <v>6.241119416736615</v>
      </c>
      <c r="CC66">
        <f t="shared" si="56"/>
        <v>-0.0011287798963871916</v>
      </c>
      <c r="CD66">
        <v>0.14</v>
      </c>
      <c r="CE66">
        <f t="shared" si="57"/>
        <v>-0.0011287798963871916</v>
      </c>
      <c r="CG66">
        <f t="shared" si="28"/>
        <v>684.8367760068995</v>
      </c>
      <c r="CH66">
        <f t="shared" si="29"/>
        <v>11.610138519235557</v>
      </c>
      <c r="CI66">
        <f t="shared" si="58"/>
        <v>-0.0013999239326529967</v>
      </c>
      <c r="CJ66">
        <v>0.14</v>
      </c>
      <c r="CK66">
        <f t="shared" si="59"/>
        <v>-0.0013999239326529967</v>
      </c>
    </row>
    <row r="67" spans="1:89" ht="15.75">
      <c r="A67">
        <f t="shared" si="0"/>
        <v>1.0771165719846167</v>
      </c>
      <c r="B67">
        <f t="shared" si="1"/>
        <v>0.5545240004946993</v>
      </c>
      <c r="C67">
        <f t="shared" si="30"/>
        <v>0.5417439626340916</v>
      </c>
      <c r="D67">
        <v>0.15</v>
      </c>
      <c r="E67">
        <f t="shared" si="31"/>
        <v>0.5417439626340916</v>
      </c>
      <c r="G67">
        <f t="shared" si="2"/>
        <v>1.2459355803870673</v>
      </c>
      <c r="H67">
        <f t="shared" si="3"/>
        <v>0.5939029318491669</v>
      </c>
      <c r="I67">
        <f t="shared" si="32"/>
        <v>0.4635990570581353</v>
      </c>
      <c r="J67">
        <v>0.15</v>
      </c>
      <c r="K67">
        <f t="shared" si="33"/>
        <v>0.4635990570581353</v>
      </c>
      <c r="M67">
        <f t="shared" si="4"/>
        <v>1.4647190981721883</v>
      </c>
      <c r="N67">
        <f t="shared" si="5"/>
        <v>0.6409455841557135</v>
      </c>
      <c r="O67">
        <f t="shared" si="34"/>
        <v>0.38953418651305777</v>
      </c>
      <c r="P67">
        <v>0.15</v>
      </c>
      <c r="Q67">
        <f t="shared" si="35"/>
        <v>0.38953418651305777</v>
      </c>
      <c r="S67">
        <f t="shared" si="6"/>
        <v>1.7550069325111373</v>
      </c>
      <c r="T67">
        <f t="shared" si="7"/>
        <v>0.6979457024640006</v>
      </c>
      <c r="U67">
        <f t="shared" si="36"/>
        <v>0.32023129608169415</v>
      </c>
      <c r="V67">
        <v>0.15</v>
      </c>
      <c r="W67">
        <f t="shared" si="37"/>
        <v>0.32023129608169415</v>
      </c>
      <c r="Y67">
        <f t="shared" si="8"/>
        <v>2.1508934145990133</v>
      </c>
      <c r="Z67">
        <f t="shared" si="9"/>
        <v>0.7681520163237816</v>
      </c>
      <c r="AA67">
        <f t="shared" si="38"/>
        <v>0.25639447952572936</v>
      </c>
      <c r="AB67">
        <v>0.15</v>
      </c>
      <c r="AC67">
        <f t="shared" si="39"/>
        <v>0.25639447952572936</v>
      </c>
      <c r="AE67">
        <f t="shared" si="10"/>
        <v>2.7085547408301465</v>
      </c>
      <c r="AF67">
        <f t="shared" si="11"/>
        <v>0.8562937692556124</v>
      </c>
      <c r="AG67">
        <f t="shared" si="40"/>
        <v>0.1987244069679344</v>
      </c>
      <c r="AH67">
        <v>0.15</v>
      </c>
      <c r="AI67">
        <f t="shared" si="41"/>
        <v>0.1987244069679344</v>
      </c>
      <c r="AK67">
        <f t="shared" si="12"/>
        <v>3.5249991772401073</v>
      </c>
      <c r="AL67">
        <f t="shared" si="13"/>
        <v>0.9694775701977635</v>
      </c>
      <c r="AM67">
        <f t="shared" si="42"/>
        <v>0.14788042160011777</v>
      </c>
      <c r="AN67">
        <v>0.15</v>
      </c>
      <c r="AO67">
        <f t="shared" si="43"/>
        <v>0.14788042160011777</v>
      </c>
      <c r="AQ67">
        <f t="shared" si="14"/>
        <v>4.777313209752131</v>
      </c>
      <c r="AR67">
        <f t="shared" si="15"/>
        <v>1.11878686790443</v>
      </c>
      <c r="AS67">
        <f t="shared" si="44"/>
        <v>0.10442731047986276</v>
      </c>
      <c r="AT67">
        <v>0.15</v>
      </c>
      <c r="AU67">
        <f t="shared" si="45"/>
        <v>0.10442731047986276</v>
      </c>
      <c r="AW67">
        <f t="shared" si="16"/>
        <v>6.811025821054993</v>
      </c>
      <c r="AX67">
        <f t="shared" si="17"/>
        <v>1.3222854531307033</v>
      </c>
      <c r="AY67">
        <f t="shared" si="46"/>
        <v>0.06876455828174328</v>
      </c>
      <c r="AZ67">
        <v>0.15</v>
      </c>
      <c r="BA67">
        <f t="shared" si="47"/>
        <v>0.06876455828174328</v>
      </c>
      <c r="BC67">
        <f t="shared" si="18"/>
        <v>10.357300493248442</v>
      </c>
      <c r="BD67">
        <f t="shared" si="19"/>
        <v>1.611013036536682</v>
      </c>
      <c r="BE67">
        <f t="shared" si="48"/>
        <v>0.0410384969323398</v>
      </c>
      <c r="BF67">
        <v>0.15</v>
      </c>
      <c r="BG67">
        <f t="shared" si="49"/>
        <v>0.0410384969323398</v>
      </c>
      <c r="BI67">
        <f t="shared" si="20"/>
        <v>17.127242080719306</v>
      </c>
      <c r="BJ67">
        <f t="shared" si="21"/>
        <v>2.041867969074457</v>
      </c>
      <c r="BK67">
        <f t="shared" si="50"/>
        <v>0.02104365682111586</v>
      </c>
      <c r="BL67">
        <v>0.15</v>
      </c>
      <c r="BM67">
        <f t="shared" si="51"/>
        <v>0.02104365682111586</v>
      </c>
      <c r="BO67">
        <f t="shared" si="22"/>
        <v>31.671651440175555</v>
      </c>
      <c r="BP67">
        <f t="shared" si="23"/>
        <v>2.727905243101414</v>
      </c>
      <c r="BQ67">
        <f t="shared" si="52"/>
        <v>0.008130747903095781</v>
      </c>
      <c r="BR67">
        <v>0.15</v>
      </c>
      <c r="BS67">
        <f t="shared" si="53"/>
        <v>0.008130747903095781</v>
      </c>
      <c r="BU67">
        <f t="shared" si="24"/>
        <v>68.29671269242061</v>
      </c>
      <c r="BV67">
        <f t="shared" si="25"/>
        <v>3.918152277900594</v>
      </c>
      <c r="BW67">
        <f t="shared" si="54"/>
        <v>0.0011563830117357241</v>
      </c>
      <c r="BX67">
        <v>0.15</v>
      </c>
      <c r="BY67">
        <f t="shared" si="55"/>
        <v>0.0011563830117357241</v>
      </c>
      <c r="CA67">
        <f t="shared" si="26"/>
        <v>183.4340946413366</v>
      </c>
      <c r="CB67">
        <f t="shared" si="27"/>
        <v>6.241119416736615</v>
      </c>
      <c r="CC67">
        <f t="shared" si="56"/>
        <v>-0.0014690175947790684</v>
      </c>
      <c r="CD67">
        <v>0.15</v>
      </c>
      <c r="CE67">
        <f t="shared" si="57"/>
        <v>-0.0014690175947790684</v>
      </c>
      <c r="CG67">
        <f t="shared" si="28"/>
        <v>684.8367760068995</v>
      </c>
      <c r="CH67">
        <f t="shared" si="29"/>
        <v>11.610138519235557</v>
      </c>
      <c r="CI67">
        <f t="shared" si="58"/>
        <v>-0.001569455402427899</v>
      </c>
      <c r="CJ67">
        <v>0.15</v>
      </c>
      <c r="CK67">
        <f t="shared" si="59"/>
        <v>-0.001569455402427899</v>
      </c>
    </row>
    <row r="68" spans="1:89" ht="15.75">
      <c r="A68">
        <f t="shared" si="0"/>
        <v>1.0771165719846167</v>
      </c>
      <c r="B68">
        <f t="shared" si="1"/>
        <v>0.5545240004946993</v>
      </c>
      <c r="C68">
        <f t="shared" si="30"/>
        <v>0.5365957362032887</v>
      </c>
      <c r="D68">
        <v>0.16</v>
      </c>
      <c r="E68">
        <f t="shared" si="31"/>
        <v>0.5365957362032887</v>
      </c>
      <c r="G68">
        <f t="shared" si="2"/>
        <v>1.2459355803870673</v>
      </c>
      <c r="H68">
        <f t="shared" si="3"/>
        <v>0.5939029318491669</v>
      </c>
      <c r="I68">
        <f t="shared" si="32"/>
        <v>0.4588323344346056</v>
      </c>
      <c r="J68">
        <v>0.16</v>
      </c>
      <c r="K68">
        <f t="shared" si="33"/>
        <v>0.4588323344346056</v>
      </c>
      <c r="M68">
        <f t="shared" si="4"/>
        <v>1.4647190981721883</v>
      </c>
      <c r="N68">
        <f t="shared" si="5"/>
        <v>0.6409455841557135</v>
      </c>
      <c r="O68">
        <f t="shared" si="34"/>
        <v>0.38515829228900117</v>
      </c>
      <c r="P68">
        <v>0.16</v>
      </c>
      <c r="Q68">
        <f t="shared" si="35"/>
        <v>0.38515829228900117</v>
      </c>
      <c r="S68">
        <f t="shared" si="6"/>
        <v>1.7550069325111373</v>
      </c>
      <c r="T68">
        <f t="shared" si="7"/>
        <v>0.6979457024640006</v>
      </c>
      <c r="U68">
        <f t="shared" si="36"/>
        <v>0.3162544132014348</v>
      </c>
      <c r="V68">
        <v>0.16</v>
      </c>
      <c r="W68">
        <f t="shared" si="37"/>
        <v>0.3162544132014348</v>
      </c>
      <c r="Y68">
        <f t="shared" si="8"/>
        <v>2.1508934145990133</v>
      </c>
      <c r="Z68">
        <f t="shared" si="9"/>
        <v>0.7681520163237816</v>
      </c>
      <c r="AA68">
        <f t="shared" si="38"/>
        <v>0.2528231634804524</v>
      </c>
      <c r="AB68">
        <v>0.16</v>
      </c>
      <c r="AC68">
        <f t="shared" si="39"/>
        <v>0.2528231634804524</v>
      </c>
      <c r="AE68">
        <f t="shared" si="10"/>
        <v>2.7085547408301465</v>
      </c>
      <c r="AF68">
        <f t="shared" si="11"/>
        <v>0.8562937692556124</v>
      </c>
      <c r="AG68">
        <f t="shared" si="40"/>
        <v>0.19556296534614473</v>
      </c>
      <c r="AH68">
        <v>0.16</v>
      </c>
      <c r="AI68">
        <f t="shared" si="41"/>
        <v>0.19556296534614473</v>
      </c>
      <c r="AK68">
        <f t="shared" si="12"/>
        <v>3.5249991772401073</v>
      </c>
      <c r="AL68">
        <f t="shared" si="13"/>
        <v>0.9694775701977635</v>
      </c>
      <c r="AM68">
        <f t="shared" si="42"/>
        <v>0.14513012997889588</v>
      </c>
      <c r="AN68">
        <v>0.16</v>
      </c>
      <c r="AO68">
        <f t="shared" si="43"/>
        <v>0.14513012997889588</v>
      </c>
      <c r="AQ68">
        <f t="shared" si="14"/>
        <v>4.777313209752131</v>
      </c>
      <c r="AR68">
        <f t="shared" si="15"/>
        <v>1.11878686790443</v>
      </c>
      <c r="AS68">
        <f t="shared" si="44"/>
        <v>0.10208543583446458</v>
      </c>
      <c r="AT68">
        <v>0.16</v>
      </c>
      <c r="AU68">
        <f t="shared" si="45"/>
        <v>0.10208543583446458</v>
      </c>
      <c r="AW68">
        <f t="shared" si="16"/>
        <v>6.811025821054993</v>
      </c>
      <c r="AX68">
        <f t="shared" si="17"/>
        <v>1.3222854531307033</v>
      </c>
      <c r="AY68">
        <f t="shared" si="46"/>
        <v>0.0668231687056781</v>
      </c>
      <c r="AZ68">
        <v>0.16</v>
      </c>
      <c r="BA68">
        <f t="shared" si="47"/>
        <v>0.0668231687056781</v>
      </c>
      <c r="BC68">
        <f t="shared" si="18"/>
        <v>10.357300493248442</v>
      </c>
      <c r="BD68">
        <f t="shared" si="19"/>
        <v>1.611013036536682</v>
      </c>
      <c r="BE68">
        <f t="shared" si="48"/>
        <v>0.03948305974328958</v>
      </c>
      <c r="BF68">
        <v>0.16</v>
      </c>
      <c r="BG68">
        <f t="shared" si="49"/>
        <v>0.03948305974328958</v>
      </c>
      <c r="BI68">
        <f t="shared" si="20"/>
        <v>17.127242080719306</v>
      </c>
      <c r="BJ68">
        <f t="shared" si="21"/>
        <v>2.041867969074457</v>
      </c>
      <c r="BK68">
        <f t="shared" si="50"/>
        <v>0.019851481245240127</v>
      </c>
      <c r="BL68">
        <v>0.16</v>
      </c>
      <c r="BM68">
        <f t="shared" si="51"/>
        <v>0.019851481245240127</v>
      </c>
      <c r="BO68">
        <f t="shared" si="22"/>
        <v>31.671651440175555</v>
      </c>
      <c r="BP68">
        <f t="shared" si="23"/>
        <v>2.727905243101414</v>
      </c>
      <c r="BQ68">
        <f t="shared" si="52"/>
        <v>0.007269439723996203</v>
      </c>
      <c r="BR68">
        <v>0.16</v>
      </c>
      <c r="BS68">
        <f t="shared" si="53"/>
        <v>0.007269439723996203</v>
      </c>
      <c r="BU68">
        <f t="shared" si="24"/>
        <v>68.29671269242061</v>
      </c>
      <c r="BV68">
        <f t="shared" si="25"/>
        <v>3.918152277900594</v>
      </c>
      <c r="BW68">
        <f t="shared" si="54"/>
        <v>0.0005826874232604367</v>
      </c>
      <c r="BX68">
        <v>0.16</v>
      </c>
      <c r="BY68">
        <f t="shared" si="55"/>
        <v>0.0005826874232604367</v>
      </c>
      <c r="CA68">
        <f t="shared" si="26"/>
        <v>183.4340946413366</v>
      </c>
      <c r="CB68">
        <f t="shared" si="27"/>
        <v>6.241119416736615</v>
      </c>
      <c r="CC68">
        <f t="shared" si="56"/>
        <v>-0.001809255293170946</v>
      </c>
      <c r="CD68">
        <v>0.16</v>
      </c>
      <c r="CE68">
        <f t="shared" si="57"/>
        <v>-0.001809255293170946</v>
      </c>
      <c r="CG68">
        <f t="shared" si="28"/>
        <v>684.8367760068995</v>
      </c>
      <c r="CH68">
        <f t="shared" si="29"/>
        <v>11.610138519235557</v>
      </c>
      <c r="CI68">
        <f t="shared" si="58"/>
        <v>-0.001738986872202802</v>
      </c>
      <c r="CJ68">
        <v>0.16</v>
      </c>
      <c r="CK68">
        <f t="shared" si="59"/>
        <v>-0.001738986872202802</v>
      </c>
    </row>
    <row r="69" spans="1:89" ht="15.75">
      <c r="A69">
        <f t="shared" si="0"/>
        <v>1.0771165719846167</v>
      </c>
      <c r="B69">
        <f t="shared" si="1"/>
        <v>0.5545240004946993</v>
      </c>
      <c r="C69">
        <f t="shared" si="30"/>
        <v>0.5314475097724859</v>
      </c>
      <c r="D69">
        <v>0.17</v>
      </c>
      <c r="E69">
        <f t="shared" si="31"/>
        <v>0.5314475097724859</v>
      </c>
      <c r="G69">
        <f t="shared" si="2"/>
        <v>1.2459355803870673</v>
      </c>
      <c r="H69">
        <f t="shared" si="3"/>
        <v>0.5939029318491669</v>
      </c>
      <c r="I69">
        <f t="shared" si="32"/>
        <v>0.45406561181107585</v>
      </c>
      <c r="J69">
        <v>0.17</v>
      </c>
      <c r="K69">
        <f t="shared" si="33"/>
        <v>0.45406561181107585</v>
      </c>
      <c r="M69">
        <f t="shared" si="4"/>
        <v>1.4647190981721883</v>
      </c>
      <c r="N69">
        <f t="shared" si="5"/>
        <v>0.6409455841557135</v>
      </c>
      <c r="O69">
        <f t="shared" si="34"/>
        <v>0.3807823980649445</v>
      </c>
      <c r="P69">
        <v>0.17</v>
      </c>
      <c r="Q69">
        <f t="shared" si="35"/>
        <v>0.3807823980649445</v>
      </c>
      <c r="S69">
        <f t="shared" si="6"/>
        <v>1.7550069325111373</v>
      </c>
      <c r="T69">
        <f t="shared" si="7"/>
        <v>0.6979457024640006</v>
      </c>
      <c r="U69">
        <f t="shared" si="36"/>
        <v>0.3122775303211755</v>
      </c>
      <c r="V69">
        <v>0.17</v>
      </c>
      <c r="W69">
        <f t="shared" si="37"/>
        <v>0.3122775303211755</v>
      </c>
      <c r="Y69">
        <f t="shared" si="8"/>
        <v>2.1508934145990133</v>
      </c>
      <c r="Z69">
        <f t="shared" si="9"/>
        <v>0.7681520163237816</v>
      </c>
      <c r="AA69">
        <f t="shared" si="38"/>
        <v>0.24925184743517553</v>
      </c>
      <c r="AB69">
        <v>0.17</v>
      </c>
      <c r="AC69">
        <f t="shared" si="39"/>
        <v>0.24925184743517553</v>
      </c>
      <c r="AE69">
        <f t="shared" si="10"/>
        <v>2.7085547408301465</v>
      </c>
      <c r="AF69">
        <f t="shared" si="11"/>
        <v>0.8562937692556124</v>
      </c>
      <c r="AG69">
        <f t="shared" si="40"/>
        <v>0.1924015237243551</v>
      </c>
      <c r="AH69">
        <v>0.17</v>
      </c>
      <c r="AI69">
        <f t="shared" si="41"/>
        <v>0.1924015237243551</v>
      </c>
      <c r="AK69">
        <f t="shared" si="12"/>
        <v>3.5249991772401073</v>
      </c>
      <c r="AL69">
        <f t="shared" si="13"/>
        <v>0.9694775701977635</v>
      </c>
      <c r="AM69">
        <f t="shared" si="42"/>
        <v>0.14237983835767395</v>
      </c>
      <c r="AN69">
        <v>0.17</v>
      </c>
      <c r="AO69">
        <f t="shared" si="43"/>
        <v>0.14237983835767395</v>
      </c>
      <c r="AQ69">
        <f t="shared" si="14"/>
        <v>4.777313209752131</v>
      </c>
      <c r="AR69">
        <f t="shared" si="15"/>
        <v>1.11878686790443</v>
      </c>
      <c r="AS69">
        <f t="shared" si="44"/>
        <v>0.0997435611890664</v>
      </c>
      <c r="AT69">
        <v>0.17</v>
      </c>
      <c r="AU69">
        <f t="shared" si="45"/>
        <v>0.0997435611890664</v>
      </c>
      <c r="AW69">
        <f t="shared" si="16"/>
        <v>6.811025821054993</v>
      </c>
      <c r="AX69">
        <f t="shared" si="17"/>
        <v>1.3222854531307033</v>
      </c>
      <c r="AY69">
        <f t="shared" si="46"/>
        <v>0.0648817791296129</v>
      </c>
      <c r="AZ69">
        <v>0.17</v>
      </c>
      <c r="BA69">
        <f t="shared" si="47"/>
        <v>0.0648817791296129</v>
      </c>
      <c r="BC69">
        <f t="shared" si="18"/>
        <v>10.357300493248442</v>
      </c>
      <c r="BD69">
        <f t="shared" si="19"/>
        <v>1.611013036536682</v>
      </c>
      <c r="BE69">
        <f t="shared" si="48"/>
        <v>0.03792762255423936</v>
      </c>
      <c r="BF69">
        <v>0.17</v>
      </c>
      <c r="BG69">
        <f t="shared" si="49"/>
        <v>0.03792762255423936</v>
      </c>
      <c r="BI69">
        <f t="shared" si="20"/>
        <v>17.127242080719306</v>
      </c>
      <c r="BJ69">
        <f t="shared" si="21"/>
        <v>2.041867969074457</v>
      </c>
      <c r="BK69">
        <f t="shared" si="50"/>
        <v>0.0186593056693644</v>
      </c>
      <c r="BL69">
        <v>0.17</v>
      </c>
      <c r="BM69">
        <f t="shared" si="51"/>
        <v>0.0186593056693644</v>
      </c>
      <c r="BO69">
        <f t="shared" si="22"/>
        <v>31.671651440175555</v>
      </c>
      <c r="BP69">
        <f t="shared" si="23"/>
        <v>2.727905243101414</v>
      </c>
      <c r="BQ69">
        <f t="shared" si="52"/>
        <v>0.006408131544896623</v>
      </c>
      <c r="BR69">
        <v>0.17</v>
      </c>
      <c r="BS69">
        <f t="shared" si="53"/>
        <v>0.006408131544896623</v>
      </c>
      <c r="BU69">
        <f t="shared" si="24"/>
        <v>68.29671269242061</v>
      </c>
      <c r="BV69">
        <f t="shared" si="25"/>
        <v>3.918152277900594</v>
      </c>
      <c r="BW69">
        <f t="shared" si="54"/>
        <v>8.9918347851475E-06</v>
      </c>
      <c r="BX69">
        <v>0.17</v>
      </c>
      <c r="BY69">
        <f t="shared" si="55"/>
        <v>8.9918347851475E-06</v>
      </c>
      <c r="CA69">
        <f t="shared" si="26"/>
        <v>183.4340946413366</v>
      </c>
      <c r="CB69">
        <f t="shared" si="27"/>
        <v>6.241119416736615</v>
      </c>
      <c r="CC69">
        <f t="shared" si="56"/>
        <v>-0.0021494929915628234</v>
      </c>
      <c r="CD69">
        <v>0.17</v>
      </c>
      <c r="CE69">
        <f t="shared" si="57"/>
        <v>-0.0021494929915628234</v>
      </c>
      <c r="CG69">
        <f t="shared" si="28"/>
        <v>684.8367760068995</v>
      </c>
      <c r="CH69">
        <f t="shared" si="29"/>
        <v>11.610138519235557</v>
      </c>
      <c r="CI69">
        <f t="shared" si="58"/>
        <v>-0.0019085183419777052</v>
      </c>
      <c r="CJ69">
        <v>0.17</v>
      </c>
      <c r="CK69">
        <f t="shared" si="59"/>
        <v>-0.0019085183419777052</v>
      </c>
    </row>
    <row r="70" spans="1:89" ht="15.75">
      <c r="A70">
        <f t="shared" si="0"/>
        <v>1.0771165719846167</v>
      </c>
      <c r="B70">
        <f t="shared" si="1"/>
        <v>0.5545240004946993</v>
      </c>
      <c r="C70">
        <f t="shared" si="30"/>
        <v>0.526299283341683</v>
      </c>
      <c r="D70">
        <v>0.18</v>
      </c>
      <c r="E70">
        <f t="shared" si="31"/>
        <v>0.526299283341683</v>
      </c>
      <c r="G70">
        <f t="shared" si="2"/>
        <v>1.2459355803870673</v>
      </c>
      <c r="H70">
        <f t="shared" si="3"/>
        <v>0.5939029318491669</v>
      </c>
      <c r="I70">
        <f t="shared" si="32"/>
        <v>0.4492988891875461</v>
      </c>
      <c r="J70">
        <v>0.18</v>
      </c>
      <c r="K70">
        <f t="shared" si="33"/>
        <v>0.4492988891875461</v>
      </c>
      <c r="M70">
        <f t="shared" si="4"/>
        <v>1.4647190981721883</v>
      </c>
      <c r="N70">
        <f t="shared" si="5"/>
        <v>0.6409455841557135</v>
      </c>
      <c r="O70">
        <f t="shared" si="34"/>
        <v>0.3764065038408878</v>
      </c>
      <c r="P70">
        <v>0.18</v>
      </c>
      <c r="Q70">
        <f t="shared" si="35"/>
        <v>0.3764065038408878</v>
      </c>
      <c r="S70">
        <f t="shared" si="6"/>
        <v>1.7550069325111373</v>
      </c>
      <c r="T70">
        <f t="shared" si="7"/>
        <v>0.6979457024640006</v>
      </c>
      <c r="U70">
        <f t="shared" si="36"/>
        <v>0.3083006474409162</v>
      </c>
      <c r="V70">
        <v>0.18</v>
      </c>
      <c r="W70">
        <f t="shared" si="37"/>
        <v>0.3083006474409162</v>
      </c>
      <c r="Y70">
        <f t="shared" si="8"/>
        <v>2.1508934145990133</v>
      </c>
      <c r="Z70">
        <f t="shared" si="9"/>
        <v>0.7681520163237816</v>
      </c>
      <c r="AA70">
        <f t="shared" si="38"/>
        <v>0.2456805313898987</v>
      </c>
      <c r="AB70">
        <v>0.18</v>
      </c>
      <c r="AC70">
        <f t="shared" si="39"/>
        <v>0.2456805313898987</v>
      </c>
      <c r="AE70">
        <f t="shared" si="10"/>
        <v>2.7085547408301465</v>
      </c>
      <c r="AF70">
        <f t="shared" si="11"/>
        <v>0.8562937692556124</v>
      </c>
      <c r="AG70">
        <f t="shared" si="40"/>
        <v>0.18924008210256543</v>
      </c>
      <c r="AH70">
        <v>0.18</v>
      </c>
      <c r="AI70">
        <f t="shared" si="41"/>
        <v>0.18924008210256543</v>
      </c>
      <c r="AK70">
        <f t="shared" si="12"/>
        <v>3.5249991772401073</v>
      </c>
      <c r="AL70">
        <f t="shared" si="13"/>
        <v>0.9694775701977635</v>
      </c>
      <c r="AM70">
        <f t="shared" si="42"/>
        <v>0.13962954673645203</v>
      </c>
      <c r="AN70">
        <v>0.18</v>
      </c>
      <c r="AO70">
        <f t="shared" si="43"/>
        <v>0.13962954673645203</v>
      </c>
      <c r="AQ70">
        <f t="shared" si="14"/>
        <v>4.777313209752131</v>
      </c>
      <c r="AR70">
        <f t="shared" si="15"/>
        <v>1.11878686790443</v>
      </c>
      <c r="AS70">
        <f t="shared" si="44"/>
        <v>0.09740168654366824</v>
      </c>
      <c r="AT70">
        <v>0.18</v>
      </c>
      <c r="AU70">
        <f t="shared" si="45"/>
        <v>0.09740168654366824</v>
      </c>
      <c r="AW70">
        <f t="shared" si="16"/>
        <v>6.811025821054993</v>
      </c>
      <c r="AX70">
        <f t="shared" si="17"/>
        <v>1.3222854531307033</v>
      </c>
      <c r="AY70">
        <f t="shared" si="46"/>
        <v>0.06294038955354771</v>
      </c>
      <c r="AZ70">
        <v>0.18</v>
      </c>
      <c r="BA70">
        <f t="shared" si="47"/>
        <v>0.06294038955354771</v>
      </c>
      <c r="BC70">
        <f t="shared" si="18"/>
        <v>10.357300493248442</v>
      </c>
      <c r="BD70">
        <f t="shared" si="19"/>
        <v>1.611013036536682</v>
      </c>
      <c r="BE70">
        <f t="shared" si="48"/>
        <v>0.036372185365189144</v>
      </c>
      <c r="BF70">
        <v>0.18</v>
      </c>
      <c r="BG70">
        <f t="shared" si="49"/>
        <v>0.036372185365189144</v>
      </c>
      <c r="BI70">
        <f t="shared" si="20"/>
        <v>17.127242080719306</v>
      </c>
      <c r="BJ70">
        <f t="shared" si="21"/>
        <v>2.041867969074457</v>
      </c>
      <c r="BK70">
        <f t="shared" si="50"/>
        <v>0.017467130093488673</v>
      </c>
      <c r="BL70">
        <v>0.18</v>
      </c>
      <c r="BM70">
        <f t="shared" si="51"/>
        <v>0.017467130093488673</v>
      </c>
      <c r="BO70">
        <f t="shared" si="22"/>
        <v>31.671651440175555</v>
      </c>
      <c r="BP70">
        <f t="shared" si="23"/>
        <v>2.727905243101414</v>
      </c>
      <c r="BQ70">
        <f t="shared" si="52"/>
        <v>0.0055468233657970465</v>
      </c>
      <c r="BR70">
        <v>0.18</v>
      </c>
      <c r="BS70">
        <f t="shared" si="53"/>
        <v>0.0055468233657970465</v>
      </c>
      <c r="BU70">
        <f t="shared" si="24"/>
        <v>68.29671269242061</v>
      </c>
      <c r="BV70">
        <f t="shared" si="25"/>
        <v>3.918152277900594</v>
      </c>
      <c r="BW70">
        <f t="shared" si="54"/>
        <v>-0.0005647037536901401</v>
      </c>
      <c r="BX70">
        <v>0.18</v>
      </c>
      <c r="BY70">
        <f t="shared" si="55"/>
        <v>-0.0005647037536901401</v>
      </c>
      <c r="CA70">
        <f t="shared" si="26"/>
        <v>183.4340946413366</v>
      </c>
      <c r="CB70">
        <f t="shared" si="27"/>
        <v>6.241119416736615</v>
      </c>
      <c r="CC70">
        <f t="shared" si="56"/>
        <v>-0.0024897306899547005</v>
      </c>
      <c r="CD70">
        <v>0.18</v>
      </c>
      <c r="CE70">
        <f t="shared" si="57"/>
        <v>-0.0024897306899547005</v>
      </c>
      <c r="CG70">
        <f t="shared" si="28"/>
        <v>684.8367760068995</v>
      </c>
      <c r="CH70">
        <f t="shared" si="29"/>
        <v>11.610138519235557</v>
      </c>
      <c r="CI70">
        <f t="shared" si="58"/>
        <v>-0.002078049811752607</v>
      </c>
      <c r="CJ70">
        <v>0.18</v>
      </c>
      <c r="CK70">
        <f t="shared" si="59"/>
        <v>-0.002078049811752607</v>
      </c>
    </row>
    <row r="71" spans="1:89" ht="15.75">
      <c r="A71">
        <f t="shared" si="0"/>
        <v>1.0771165719846167</v>
      </c>
      <c r="B71">
        <f t="shared" si="1"/>
        <v>0.5545240004946993</v>
      </c>
      <c r="C71">
        <f t="shared" si="30"/>
        <v>0.5211510569108802</v>
      </c>
      <c r="D71">
        <v>0.19</v>
      </c>
      <c r="E71">
        <f t="shared" si="31"/>
        <v>0.5211510569108802</v>
      </c>
      <c r="G71">
        <f t="shared" si="2"/>
        <v>1.2459355803870673</v>
      </c>
      <c r="H71">
        <f t="shared" si="3"/>
        <v>0.5939029318491669</v>
      </c>
      <c r="I71">
        <f t="shared" si="32"/>
        <v>0.4445321665640164</v>
      </c>
      <c r="J71">
        <v>0.19</v>
      </c>
      <c r="K71">
        <f t="shared" si="33"/>
        <v>0.4445321665640164</v>
      </c>
      <c r="M71">
        <f t="shared" si="4"/>
        <v>1.4647190981721883</v>
      </c>
      <c r="N71">
        <f t="shared" si="5"/>
        <v>0.6409455841557135</v>
      </c>
      <c r="O71">
        <f t="shared" si="34"/>
        <v>0.37203060961683115</v>
      </c>
      <c r="P71">
        <v>0.19</v>
      </c>
      <c r="Q71">
        <f t="shared" si="35"/>
        <v>0.37203060961683115</v>
      </c>
      <c r="S71">
        <f t="shared" si="6"/>
        <v>1.7550069325111373</v>
      </c>
      <c r="T71">
        <f t="shared" si="7"/>
        <v>0.6979457024640006</v>
      </c>
      <c r="U71">
        <f t="shared" si="36"/>
        <v>0.3043237645606568</v>
      </c>
      <c r="V71">
        <v>0.19</v>
      </c>
      <c r="W71">
        <f t="shared" si="37"/>
        <v>0.3043237645606568</v>
      </c>
      <c r="Y71">
        <f t="shared" si="8"/>
        <v>2.1508934145990133</v>
      </c>
      <c r="Z71">
        <f t="shared" si="9"/>
        <v>0.7681520163237816</v>
      </c>
      <c r="AA71">
        <f t="shared" si="38"/>
        <v>0.2421092153446218</v>
      </c>
      <c r="AB71">
        <v>0.19</v>
      </c>
      <c r="AC71">
        <f t="shared" si="39"/>
        <v>0.2421092153446218</v>
      </c>
      <c r="AE71">
        <f t="shared" si="10"/>
        <v>2.7085547408301465</v>
      </c>
      <c r="AF71">
        <f t="shared" si="11"/>
        <v>0.8562937692556124</v>
      </c>
      <c r="AG71">
        <f t="shared" si="40"/>
        <v>0.18607864048077577</v>
      </c>
      <c r="AH71">
        <v>0.19</v>
      </c>
      <c r="AI71">
        <f t="shared" si="41"/>
        <v>0.18607864048077577</v>
      </c>
      <c r="AK71">
        <f t="shared" si="12"/>
        <v>3.5249991772401073</v>
      </c>
      <c r="AL71">
        <f t="shared" si="13"/>
        <v>0.9694775701977635</v>
      </c>
      <c r="AM71">
        <f t="shared" si="42"/>
        <v>0.1368792551152301</v>
      </c>
      <c r="AN71">
        <v>0.19</v>
      </c>
      <c r="AO71">
        <f t="shared" si="43"/>
        <v>0.1368792551152301</v>
      </c>
      <c r="AQ71">
        <f t="shared" si="14"/>
        <v>4.777313209752131</v>
      </c>
      <c r="AR71">
        <f t="shared" si="15"/>
        <v>1.11878686790443</v>
      </c>
      <c r="AS71">
        <f t="shared" si="44"/>
        <v>0.09505981189827005</v>
      </c>
      <c r="AT71">
        <v>0.19</v>
      </c>
      <c r="AU71">
        <f t="shared" si="45"/>
        <v>0.09505981189827005</v>
      </c>
      <c r="AW71">
        <f t="shared" si="16"/>
        <v>6.811025821054993</v>
      </c>
      <c r="AX71">
        <f t="shared" si="17"/>
        <v>1.3222854531307033</v>
      </c>
      <c r="AY71">
        <f t="shared" si="46"/>
        <v>0.06099899997748251</v>
      </c>
      <c r="AZ71">
        <v>0.19</v>
      </c>
      <c r="BA71">
        <f t="shared" si="47"/>
        <v>0.06099899997748251</v>
      </c>
      <c r="BC71">
        <f t="shared" si="18"/>
        <v>10.357300493248442</v>
      </c>
      <c r="BD71">
        <f t="shared" si="19"/>
        <v>1.611013036536682</v>
      </c>
      <c r="BE71">
        <f t="shared" si="48"/>
        <v>0.03481674817613892</v>
      </c>
      <c r="BF71">
        <v>0.19</v>
      </c>
      <c r="BG71">
        <f t="shared" si="49"/>
        <v>0.03481674817613892</v>
      </c>
      <c r="BI71">
        <f t="shared" si="20"/>
        <v>17.127242080719306</v>
      </c>
      <c r="BJ71">
        <f t="shared" si="21"/>
        <v>2.041867969074457</v>
      </c>
      <c r="BK71">
        <f t="shared" si="50"/>
        <v>0.01627495451761294</v>
      </c>
      <c r="BL71">
        <v>0.19</v>
      </c>
      <c r="BM71">
        <f t="shared" si="51"/>
        <v>0.01627495451761294</v>
      </c>
      <c r="BO71">
        <f t="shared" si="22"/>
        <v>31.671651440175555</v>
      </c>
      <c r="BP71">
        <f t="shared" si="23"/>
        <v>2.727905243101414</v>
      </c>
      <c r="BQ71">
        <f t="shared" si="52"/>
        <v>0.004685515186697469</v>
      </c>
      <c r="BR71">
        <v>0.19</v>
      </c>
      <c r="BS71">
        <f t="shared" si="53"/>
        <v>0.004685515186697469</v>
      </c>
      <c r="BU71">
        <f t="shared" si="24"/>
        <v>68.29671269242061</v>
      </c>
      <c r="BV71">
        <f t="shared" si="25"/>
        <v>3.918152277900594</v>
      </c>
      <c r="BW71">
        <f t="shared" si="54"/>
        <v>-0.0011383993421654292</v>
      </c>
      <c r="BX71">
        <v>0.19</v>
      </c>
      <c r="BY71">
        <f t="shared" si="55"/>
        <v>-0.0011383993421654292</v>
      </c>
      <c r="CA71">
        <f t="shared" si="26"/>
        <v>183.4340946413366</v>
      </c>
      <c r="CB71">
        <f t="shared" si="27"/>
        <v>6.241119416736615</v>
      </c>
      <c r="CC71">
        <f t="shared" si="56"/>
        <v>-0.002829968388346578</v>
      </c>
      <c r="CD71">
        <v>0.19</v>
      </c>
      <c r="CE71">
        <f t="shared" si="57"/>
        <v>-0.002829968388346578</v>
      </c>
      <c r="CG71">
        <f t="shared" si="28"/>
        <v>684.8367760068995</v>
      </c>
      <c r="CH71">
        <f t="shared" si="29"/>
        <v>11.610138519235557</v>
      </c>
      <c r="CI71">
        <f t="shared" si="58"/>
        <v>-0.0022475812815275103</v>
      </c>
      <c r="CJ71">
        <v>0.19</v>
      </c>
      <c r="CK71">
        <f t="shared" si="59"/>
        <v>-0.0022475812815275103</v>
      </c>
    </row>
    <row r="72" spans="1:89" ht="15.75">
      <c r="A72">
        <f t="shared" si="0"/>
        <v>1.0771165719846167</v>
      </c>
      <c r="B72">
        <f t="shared" si="1"/>
        <v>0.5545240004946993</v>
      </c>
      <c r="C72">
        <f t="shared" si="30"/>
        <v>0.5160028304800772</v>
      </c>
      <c r="D72">
        <v>0.2</v>
      </c>
      <c r="E72">
        <f t="shared" si="31"/>
        <v>0.5160028304800772</v>
      </c>
      <c r="G72">
        <f t="shared" si="2"/>
        <v>1.2459355803870673</v>
      </c>
      <c r="H72">
        <f t="shared" si="3"/>
        <v>0.5939029318491669</v>
      </c>
      <c r="I72">
        <f t="shared" si="32"/>
        <v>0.4397654439404867</v>
      </c>
      <c r="J72">
        <v>0.2</v>
      </c>
      <c r="K72">
        <f t="shared" si="33"/>
        <v>0.4397654439404867</v>
      </c>
      <c r="M72">
        <f t="shared" si="4"/>
        <v>1.4647190981721883</v>
      </c>
      <c r="N72">
        <f t="shared" si="5"/>
        <v>0.6409455841557135</v>
      </c>
      <c r="O72">
        <f t="shared" si="34"/>
        <v>0.3676547153927745</v>
      </c>
      <c r="P72">
        <v>0.2</v>
      </c>
      <c r="Q72">
        <f t="shared" si="35"/>
        <v>0.3676547153927745</v>
      </c>
      <c r="S72">
        <f t="shared" si="6"/>
        <v>1.7550069325111373</v>
      </c>
      <c r="T72">
        <f t="shared" si="7"/>
        <v>0.6979457024640006</v>
      </c>
      <c r="U72">
        <f t="shared" si="36"/>
        <v>0.30034688168039747</v>
      </c>
      <c r="V72">
        <v>0.2</v>
      </c>
      <c r="W72">
        <f t="shared" si="37"/>
        <v>0.30034688168039747</v>
      </c>
      <c r="Y72">
        <f t="shared" si="8"/>
        <v>2.1508934145990133</v>
      </c>
      <c r="Z72">
        <f t="shared" si="9"/>
        <v>0.7681520163237816</v>
      </c>
      <c r="AA72">
        <f t="shared" si="38"/>
        <v>0.23853789929934496</v>
      </c>
      <c r="AB72">
        <v>0.2</v>
      </c>
      <c r="AC72">
        <f t="shared" si="39"/>
        <v>0.23853789929934496</v>
      </c>
      <c r="AE72">
        <f t="shared" si="10"/>
        <v>2.7085547408301465</v>
      </c>
      <c r="AF72">
        <f t="shared" si="11"/>
        <v>0.8562937692556124</v>
      </c>
      <c r="AG72">
        <f t="shared" si="40"/>
        <v>0.1829171988589861</v>
      </c>
      <c r="AH72">
        <v>0.2</v>
      </c>
      <c r="AI72">
        <f t="shared" si="41"/>
        <v>0.1829171988589861</v>
      </c>
      <c r="AK72">
        <f t="shared" si="12"/>
        <v>3.5249991772401073</v>
      </c>
      <c r="AL72">
        <f t="shared" si="13"/>
        <v>0.9694775701977635</v>
      </c>
      <c r="AM72">
        <f t="shared" si="42"/>
        <v>0.13412896349400819</v>
      </c>
      <c r="AN72">
        <v>0.2</v>
      </c>
      <c r="AO72">
        <f t="shared" si="43"/>
        <v>0.13412896349400819</v>
      </c>
      <c r="AQ72">
        <f t="shared" si="14"/>
        <v>4.777313209752131</v>
      </c>
      <c r="AR72">
        <f t="shared" si="15"/>
        <v>1.11878686790443</v>
      </c>
      <c r="AS72">
        <f t="shared" si="44"/>
        <v>0.09271793725287188</v>
      </c>
      <c r="AT72">
        <v>0.2</v>
      </c>
      <c r="AU72">
        <f t="shared" si="45"/>
        <v>0.09271793725287188</v>
      </c>
      <c r="AW72">
        <f t="shared" si="16"/>
        <v>6.811025821054993</v>
      </c>
      <c r="AX72">
        <f t="shared" si="17"/>
        <v>1.3222854531307033</v>
      </c>
      <c r="AY72">
        <f t="shared" si="46"/>
        <v>0.05905761040141732</v>
      </c>
      <c r="AZ72">
        <v>0.2</v>
      </c>
      <c r="BA72">
        <f t="shared" si="47"/>
        <v>0.05905761040141732</v>
      </c>
      <c r="BC72">
        <f t="shared" si="18"/>
        <v>10.357300493248442</v>
      </c>
      <c r="BD72">
        <f t="shared" si="19"/>
        <v>1.611013036536682</v>
      </c>
      <c r="BE72">
        <f t="shared" si="48"/>
        <v>0.0332613109870887</v>
      </c>
      <c r="BF72">
        <v>0.2</v>
      </c>
      <c r="BG72">
        <f t="shared" si="49"/>
        <v>0.0332613109870887</v>
      </c>
      <c r="BI72">
        <f t="shared" si="20"/>
        <v>17.127242080719306</v>
      </c>
      <c r="BJ72">
        <f t="shared" si="21"/>
        <v>2.041867969074457</v>
      </c>
      <c r="BK72">
        <f t="shared" si="50"/>
        <v>0.01508277894173721</v>
      </c>
      <c r="BL72">
        <v>0.2</v>
      </c>
      <c r="BM72">
        <f t="shared" si="51"/>
        <v>0.01508277894173721</v>
      </c>
      <c r="BO72">
        <f t="shared" si="22"/>
        <v>31.671651440175555</v>
      </c>
      <c r="BP72">
        <f t="shared" si="23"/>
        <v>2.727905243101414</v>
      </c>
      <c r="BQ72">
        <f t="shared" si="52"/>
        <v>0.0038242070075978902</v>
      </c>
      <c r="BR72">
        <v>0.2</v>
      </c>
      <c r="BS72">
        <f t="shared" si="53"/>
        <v>0.0038242070075978902</v>
      </c>
      <c r="BU72">
        <f t="shared" si="24"/>
        <v>68.29671269242061</v>
      </c>
      <c r="BV72">
        <f t="shared" si="25"/>
        <v>3.918152277900594</v>
      </c>
      <c r="BW72">
        <f t="shared" si="54"/>
        <v>-0.0017120949306407185</v>
      </c>
      <c r="BX72">
        <v>0.2</v>
      </c>
      <c r="BY72">
        <f t="shared" si="55"/>
        <v>-0.0017120949306407185</v>
      </c>
      <c r="CA72">
        <f t="shared" si="26"/>
        <v>183.4340946413366</v>
      </c>
      <c r="CB72">
        <f t="shared" si="27"/>
        <v>6.241119416736615</v>
      </c>
      <c r="CC72">
        <f t="shared" si="56"/>
        <v>-0.0031702060867384555</v>
      </c>
      <c r="CD72">
        <v>0.2</v>
      </c>
      <c r="CE72">
        <f t="shared" si="57"/>
        <v>-0.0031702060867384555</v>
      </c>
      <c r="CG72">
        <f t="shared" si="28"/>
        <v>684.8367760068995</v>
      </c>
      <c r="CH72">
        <f t="shared" si="29"/>
        <v>11.610138519235557</v>
      </c>
      <c r="CI72">
        <f t="shared" si="58"/>
        <v>-0.0024171127513024134</v>
      </c>
      <c r="CJ72">
        <v>0.2</v>
      </c>
      <c r="CK72">
        <f t="shared" si="59"/>
        <v>-0.0024171127513024134</v>
      </c>
    </row>
    <row r="75" ht="19.5">
      <c r="A75" s="54" t="s">
        <v>22</v>
      </c>
    </row>
    <row r="77" spans="1:8" ht="15.75">
      <c r="A77" s="74" t="s">
        <v>52</v>
      </c>
      <c r="B77" s="74">
        <v>0.95</v>
      </c>
      <c r="D77" s="74" t="s">
        <v>52</v>
      </c>
      <c r="E77" s="74">
        <v>0.9</v>
      </c>
      <c r="G77" s="74" t="s">
        <v>52</v>
      </c>
      <c r="H77" s="74">
        <v>0.85</v>
      </c>
    </row>
    <row r="78" spans="1:8" ht="15.75">
      <c r="A78" t="s">
        <v>113</v>
      </c>
      <c r="B78">
        <f>B11</f>
        <v>0.34</v>
      </c>
      <c r="D78" t="s">
        <v>113</v>
      </c>
      <c r="E78">
        <f>B78</f>
        <v>0.34</v>
      </c>
      <c r="G78" t="s">
        <v>113</v>
      </c>
      <c r="H78">
        <f>B78</f>
        <v>0.34</v>
      </c>
    </row>
    <row r="79" spans="1:8" ht="15.75">
      <c r="A79" t="s">
        <v>49</v>
      </c>
      <c r="B79">
        <f>B77/(1-B77)</f>
        <v>18.999999999999982</v>
      </c>
      <c r="D79" t="s">
        <v>49</v>
      </c>
      <c r="E79">
        <f>E77/(1-E77)</f>
        <v>9.000000000000002</v>
      </c>
      <c r="G79" t="s">
        <v>49</v>
      </c>
      <c r="H79">
        <f>H77/(1-H77)</f>
        <v>5.666666666666666</v>
      </c>
    </row>
    <row r="80" spans="1:8" ht="15.75">
      <c r="A80" t="s">
        <v>50</v>
      </c>
      <c r="B80">
        <f>B79*B11</f>
        <v>6.459999999999995</v>
      </c>
      <c r="D80" t="s">
        <v>50</v>
      </c>
      <c r="E80">
        <f>E79*E78</f>
        <v>3.060000000000001</v>
      </c>
      <c r="G80" t="s">
        <v>50</v>
      </c>
      <c r="H80">
        <f>H79*H78</f>
        <v>1.9266666666666665</v>
      </c>
    </row>
    <row r="81" spans="1:8" ht="15.75">
      <c r="A81" t="s">
        <v>51</v>
      </c>
      <c r="B81">
        <f>B84/(B84+A84)</f>
        <v>0.8659517426273458</v>
      </c>
      <c r="D81" t="s">
        <v>51</v>
      </c>
      <c r="E81">
        <f>E84/(E84+D84)</f>
        <v>0.7536945812807883</v>
      </c>
      <c r="G81" t="s">
        <v>51</v>
      </c>
      <c r="H81">
        <f>H84/(H84+G84)</f>
        <v>0.6583143507972665</v>
      </c>
    </row>
    <row r="83" spans="1:8" ht="15.75">
      <c r="A83" t="s">
        <v>20</v>
      </c>
      <c r="B83" t="s">
        <v>21</v>
      </c>
      <c r="D83" t="s">
        <v>20</v>
      </c>
      <c r="E83" t="s">
        <v>21</v>
      </c>
      <c r="G83" t="s">
        <v>20</v>
      </c>
      <c r="H83" t="s">
        <v>21</v>
      </c>
    </row>
    <row r="84" spans="1:8" ht="15.75">
      <c r="A84">
        <v>0.0001</v>
      </c>
      <c r="B84">
        <f aca="true" t="shared" si="60" ref="B84:B94">B$80*A84</f>
        <v>0.0006459999999999995</v>
      </c>
      <c r="D84">
        <v>0.0001</v>
      </c>
      <c r="E84">
        <f aca="true" t="shared" si="61" ref="E84:E94">E$80*D84</f>
        <v>0.0003060000000000001</v>
      </c>
      <c r="G84">
        <v>0.0001</v>
      </c>
      <c r="H84">
        <f aca="true" t="shared" si="62" ref="H84:H94">H$80*G84</f>
        <v>0.00019266666666666667</v>
      </c>
    </row>
    <row r="85" spans="1:8" ht="15.75">
      <c r="A85">
        <v>0.0101</v>
      </c>
      <c r="B85">
        <f t="shared" si="60"/>
        <v>0.06524599999999994</v>
      </c>
      <c r="D85">
        <v>0.0201</v>
      </c>
      <c r="E85">
        <f t="shared" si="61"/>
        <v>0.06150600000000002</v>
      </c>
      <c r="G85">
        <v>0.0201</v>
      </c>
      <c r="H85">
        <f t="shared" si="62"/>
        <v>0.038726</v>
      </c>
    </row>
    <row r="86" spans="1:8" ht="15.75">
      <c r="A86">
        <v>0.0201</v>
      </c>
      <c r="B86">
        <f t="shared" si="60"/>
        <v>0.12984599999999988</v>
      </c>
      <c r="D86">
        <v>0.040100000000000004</v>
      </c>
      <c r="E86">
        <f t="shared" si="61"/>
        <v>0.12270600000000005</v>
      </c>
      <c r="G86">
        <v>0.040100000000000004</v>
      </c>
      <c r="H86">
        <f t="shared" si="62"/>
        <v>0.07725933333333333</v>
      </c>
    </row>
    <row r="87" spans="1:8" ht="15.75">
      <c r="A87">
        <v>0.0301</v>
      </c>
      <c r="B87">
        <f t="shared" si="60"/>
        <v>0.19444599999999984</v>
      </c>
      <c r="D87">
        <v>0.0601</v>
      </c>
      <c r="E87">
        <f t="shared" si="61"/>
        <v>0.18390600000000007</v>
      </c>
      <c r="G87">
        <v>0.0601</v>
      </c>
      <c r="H87">
        <f t="shared" si="62"/>
        <v>0.11579266666666665</v>
      </c>
    </row>
    <row r="88" spans="1:8" ht="15.75">
      <c r="A88">
        <v>0.040100000000000004</v>
      </c>
      <c r="B88">
        <f t="shared" si="60"/>
        <v>0.25904599999999983</v>
      </c>
      <c r="D88">
        <v>0.0801</v>
      </c>
      <c r="E88">
        <f t="shared" si="61"/>
        <v>0.2451060000000001</v>
      </c>
      <c r="G88">
        <v>0.088</v>
      </c>
      <c r="H88">
        <f t="shared" si="62"/>
        <v>0.16954666666666665</v>
      </c>
    </row>
    <row r="89" spans="1:8" ht="15.75">
      <c r="A89">
        <v>0.050100000000000006</v>
      </c>
      <c r="B89">
        <f t="shared" si="60"/>
        <v>0.32364599999999977</v>
      </c>
      <c r="D89">
        <v>0.10010000000000001</v>
      </c>
      <c r="E89">
        <f t="shared" si="61"/>
        <v>0.30630600000000013</v>
      </c>
      <c r="G89">
        <v>0.10010000000000001</v>
      </c>
      <c r="H89">
        <f t="shared" si="62"/>
        <v>0.19285933333333333</v>
      </c>
    </row>
    <row r="90" spans="1:8" ht="15.75">
      <c r="A90">
        <v>0.0601</v>
      </c>
      <c r="B90">
        <f t="shared" si="60"/>
        <v>0.3882459999999997</v>
      </c>
      <c r="D90">
        <v>0.1201</v>
      </c>
      <c r="E90">
        <f t="shared" si="61"/>
        <v>0.3675060000000001</v>
      </c>
      <c r="G90">
        <v>0.1201</v>
      </c>
      <c r="H90">
        <f t="shared" si="62"/>
        <v>0.23139266666666664</v>
      </c>
    </row>
    <row r="91" spans="1:8" ht="15.75">
      <c r="A91">
        <v>0.07010000000000001</v>
      </c>
      <c r="B91">
        <f t="shared" si="60"/>
        <v>0.4528459999999997</v>
      </c>
      <c r="D91">
        <v>0.1401</v>
      </c>
      <c r="E91">
        <f t="shared" si="61"/>
        <v>0.42870600000000014</v>
      </c>
      <c r="G91">
        <v>0.1401</v>
      </c>
      <c r="H91">
        <f t="shared" si="62"/>
        <v>0.269926</v>
      </c>
    </row>
    <row r="92" spans="1:8" ht="15.75">
      <c r="A92">
        <v>0.0801</v>
      </c>
      <c r="B92">
        <f t="shared" si="60"/>
        <v>0.5174459999999996</v>
      </c>
      <c r="D92">
        <v>0.1601</v>
      </c>
      <c r="E92">
        <f t="shared" si="61"/>
        <v>0.4899060000000001</v>
      </c>
      <c r="G92">
        <v>0.1601</v>
      </c>
      <c r="H92">
        <f t="shared" si="62"/>
        <v>0.3084593333333333</v>
      </c>
    </row>
    <row r="93" spans="1:8" ht="15.75">
      <c r="A93">
        <v>0.12</v>
      </c>
      <c r="B93">
        <f t="shared" si="60"/>
        <v>0.7751999999999993</v>
      </c>
      <c r="D93">
        <v>0.18009999999999998</v>
      </c>
      <c r="E93">
        <f t="shared" si="61"/>
        <v>0.5511060000000001</v>
      </c>
      <c r="G93">
        <v>0.18009999999999998</v>
      </c>
      <c r="H93">
        <f t="shared" si="62"/>
        <v>0.3469926666666666</v>
      </c>
    </row>
    <row r="94" spans="1:8" ht="15.75">
      <c r="A94">
        <v>0.15</v>
      </c>
      <c r="B94">
        <f t="shared" si="60"/>
        <v>0.9689999999999992</v>
      </c>
      <c r="D94">
        <v>0.2001</v>
      </c>
      <c r="E94">
        <f t="shared" si="61"/>
        <v>0.6123060000000002</v>
      </c>
      <c r="G94">
        <v>0.2001</v>
      </c>
      <c r="H94">
        <f t="shared" si="62"/>
        <v>0.385526</v>
      </c>
    </row>
    <row r="97" spans="1:8" ht="15.75">
      <c r="A97" s="74" t="s">
        <v>52</v>
      </c>
      <c r="B97" s="74">
        <v>0.8</v>
      </c>
      <c r="D97" s="74" t="s">
        <v>52</v>
      </c>
      <c r="E97" s="74">
        <v>0.75</v>
      </c>
      <c r="G97" s="74" t="s">
        <v>52</v>
      </c>
      <c r="H97" s="74">
        <v>0.7</v>
      </c>
    </row>
    <row r="98" spans="1:8" ht="15.75">
      <c r="A98" t="s">
        <v>113</v>
      </c>
      <c r="B98">
        <f>B78</f>
        <v>0.34</v>
      </c>
      <c r="D98" t="s">
        <v>113</v>
      </c>
      <c r="E98">
        <f>B78</f>
        <v>0.34</v>
      </c>
      <c r="G98" t="s">
        <v>113</v>
      </c>
      <c r="H98">
        <f>B78</f>
        <v>0.34</v>
      </c>
    </row>
    <row r="99" spans="1:8" ht="15.75">
      <c r="A99" t="s">
        <v>49</v>
      </c>
      <c r="B99">
        <f>B97/(1-B97)</f>
        <v>4.000000000000001</v>
      </c>
      <c r="D99" t="s">
        <v>49</v>
      </c>
      <c r="E99">
        <f>E97/(1-E97)</f>
        <v>3</v>
      </c>
      <c r="G99" t="s">
        <v>49</v>
      </c>
      <c r="H99">
        <f>H97/(1-H97)</f>
        <v>2.333333333333333</v>
      </c>
    </row>
    <row r="100" spans="1:8" ht="15.75">
      <c r="A100" t="s">
        <v>50</v>
      </c>
      <c r="B100">
        <f>B99*B98</f>
        <v>1.3600000000000003</v>
      </c>
      <c r="D100" t="s">
        <v>50</v>
      </c>
      <c r="E100">
        <f>E99*E98</f>
        <v>1.02</v>
      </c>
      <c r="G100" t="s">
        <v>50</v>
      </c>
      <c r="H100">
        <f>H99*H98</f>
        <v>0.7933333333333333</v>
      </c>
    </row>
    <row r="101" spans="1:8" ht="15.75">
      <c r="A101" t="s">
        <v>51</v>
      </c>
      <c r="B101">
        <f>B104/(B104+A104)</f>
        <v>0.576271186440678</v>
      </c>
      <c r="D101" t="s">
        <v>51</v>
      </c>
      <c r="E101">
        <f>E104/(E104+D104)</f>
        <v>0.504950495049505</v>
      </c>
      <c r="G101" t="s">
        <v>51</v>
      </c>
      <c r="H101">
        <f>H104/(H104+G104)</f>
        <v>0.44237918215613387</v>
      </c>
    </row>
    <row r="103" spans="1:8" ht="15.75">
      <c r="A103" t="s">
        <v>20</v>
      </c>
      <c r="B103" t="s">
        <v>21</v>
      </c>
      <c r="D103" t="s">
        <v>20</v>
      </c>
      <c r="E103" t="s">
        <v>21</v>
      </c>
      <c r="G103" t="s">
        <v>20</v>
      </c>
      <c r="H103" t="s">
        <v>21</v>
      </c>
    </row>
    <row r="104" spans="1:8" ht="15.75">
      <c r="A104">
        <v>0.0001</v>
      </c>
      <c r="B104">
        <f aca="true" t="shared" si="63" ref="B104:B114">$B$100*A104</f>
        <v>0.00013600000000000003</v>
      </c>
      <c r="D104">
        <v>0.0001</v>
      </c>
      <c r="E104">
        <f aca="true" t="shared" si="64" ref="E104:E114">$E$100*D104</f>
        <v>0.00010200000000000001</v>
      </c>
      <c r="G104">
        <v>0.0001</v>
      </c>
      <c r="H104">
        <f aca="true" t="shared" si="65" ref="H104:H114">$H$100*G104</f>
        <v>7.933333333333334E-05</v>
      </c>
    </row>
    <row r="105" spans="1:8" ht="15.75">
      <c r="A105">
        <v>0.0201</v>
      </c>
      <c r="B105">
        <f t="shared" si="63"/>
        <v>0.027336000000000006</v>
      </c>
      <c r="D105">
        <v>0.0201</v>
      </c>
      <c r="E105">
        <f t="shared" si="64"/>
        <v>0.020502</v>
      </c>
      <c r="G105">
        <v>0.0201</v>
      </c>
      <c r="H105">
        <f t="shared" si="65"/>
        <v>0.015946</v>
      </c>
    </row>
    <row r="106" spans="1:8" ht="15.75">
      <c r="A106">
        <v>0.040100000000000004</v>
      </c>
      <c r="B106">
        <f t="shared" si="63"/>
        <v>0.054536000000000015</v>
      </c>
      <c r="D106">
        <v>0.040100000000000004</v>
      </c>
      <c r="E106">
        <f t="shared" si="64"/>
        <v>0.04090200000000001</v>
      </c>
      <c r="G106">
        <v>0.040100000000000004</v>
      </c>
      <c r="H106">
        <f t="shared" si="65"/>
        <v>0.03181266666666667</v>
      </c>
    </row>
    <row r="107" spans="1:8" ht="15.75">
      <c r="A107">
        <v>0.0601</v>
      </c>
      <c r="B107">
        <f t="shared" si="63"/>
        <v>0.08173600000000002</v>
      </c>
      <c r="D107">
        <v>0.0601</v>
      </c>
      <c r="E107">
        <f t="shared" si="64"/>
        <v>0.061302</v>
      </c>
      <c r="G107">
        <v>0.0601</v>
      </c>
      <c r="H107">
        <f t="shared" si="65"/>
        <v>0.04767933333333333</v>
      </c>
    </row>
    <row r="108" spans="1:8" ht="15.75">
      <c r="A108">
        <v>0.0801</v>
      </c>
      <c r="B108">
        <f t="shared" si="63"/>
        <v>0.10893600000000003</v>
      </c>
      <c r="D108">
        <v>0.0801</v>
      </c>
      <c r="E108">
        <f t="shared" si="64"/>
        <v>0.08170200000000001</v>
      </c>
      <c r="G108">
        <v>0.0801</v>
      </c>
      <c r="H108">
        <f t="shared" si="65"/>
        <v>0.063546</v>
      </c>
    </row>
    <row r="109" spans="1:8" ht="15.75">
      <c r="A109">
        <v>0.10010000000000001</v>
      </c>
      <c r="B109">
        <f t="shared" si="63"/>
        <v>0.13613600000000003</v>
      </c>
      <c r="D109">
        <v>0.10010000000000001</v>
      </c>
      <c r="E109">
        <f t="shared" si="64"/>
        <v>0.10210200000000001</v>
      </c>
      <c r="G109">
        <v>0.10010000000000001</v>
      </c>
      <c r="H109">
        <f t="shared" si="65"/>
        <v>0.07941266666666667</v>
      </c>
    </row>
    <row r="110" spans="1:8" ht="15.75">
      <c r="A110">
        <v>0.1201</v>
      </c>
      <c r="B110">
        <f t="shared" si="63"/>
        <v>0.16333600000000004</v>
      </c>
      <c r="D110">
        <v>0.1201</v>
      </c>
      <c r="E110">
        <f t="shared" si="64"/>
        <v>0.122502</v>
      </c>
      <c r="G110">
        <v>0.1201</v>
      </c>
      <c r="H110">
        <f t="shared" si="65"/>
        <v>0.09527933333333333</v>
      </c>
    </row>
    <row r="111" spans="1:8" ht="15.75">
      <c r="A111">
        <v>0.1401</v>
      </c>
      <c r="B111">
        <f t="shared" si="63"/>
        <v>0.19053600000000004</v>
      </c>
      <c r="D111">
        <v>0.1401</v>
      </c>
      <c r="E111">
        <f t="shared" si="64"/>
        <v>0.142902</v>
      </c>
      <c r="G111">
        <v>0.1401</v>
      </c>
      <c r="H111">
        <f t="shared" si="65"/>
        <v>0.11114600000000001</v>
      </c>
    </row>
    <row r="112" spans="1:8" ht="15.75">
      <c r="A112">
        <v>0.1601</v>
      </c>
      <c r="B112">
        <f t="shared" si="63"/>
        <v>0.21773600000000004</v>
      </c>
      <c r="D112">
        <v>0.1601</v>
      </c>
      <c r="E112">
        <f t="shared" si="64"/>
        <v>0.163302</v>
      </c>
      <c r="G112">
        <v>0.1601</v>
      </c>
      <c r="H112">
        <f t="shared" si="65"/>
        <v>0.12701266666666666</v>
      </c>
    </row>
    <row r="113" spans="1:8" ht="15.75">
      <c r="A113">
        <v>0.18009999999999998</v>
      </c>
      <c r="B113">
        <f t="shared" si="63"/>
        <v>0.24493600000000004</v>
      </c>
      <c r="D113">
        <v>0.18009999999999998</v>
      </c>
      <c r="E113">
        <f t="shared" si="64"/>
        <v>0.18370199999999998</v>
      </c>
      <c r="G113">
        <v>0.18009999999999998</v>
      </c>
      <c r="H113">
        <f t="shared" si="65"/>
        <v>0.14287933333333333</v>
      </c>
    </row>
    <row r="114" spans="1:8" ht="15.75">
      <c r="A114">
        <v>0.2001</v>
      </c>
      <c r="B114">
        <f t="shared" si="63"/>
        <v>0.27213600000000004</v>
      </c>
      <c r="D114">
        <v>0.2001</v>
      </c>
      <c r="E114">
        <f t="shared" si="64"/>
        <v>0.204102</v>
      </c>
      <c r="G114">
        <v>0.2001</v>
      </c>
      <c r="H114">
        <f t="shared" si="65"/>
        <v>0.158746</v>
      </c>
    </row>
    <row r="117" spans="1:8" ht="15.75">
      <c r="A117" s="74" t="s">
        <v>52</v>
      </c>
      <c r="B117" s="74">
        <v>0.65</v>
      </c>
      <c r="D117" s="74" t="s">
        <v>52</v>
      </c>
      <c r="E117" s="74">
        <v>0.6</v>
      </c>
      <c r="G117" s="74" t="s">
        <v>52</v>
      </c>
      <c r="H117" s="74">
        <v>0.55</v>
      </c>
    </row>
    <row r="118" spans="1:8" ht="15.75">
      <c r="A118" t="s">
        <v>113</v>
      </c>
      <c r="B118">
        <f>B98</f>
        <v>0.34</v>
      </c>
      <c r="D118" t="s">
        <v>113</v>
      </c>
      <c r="E118">
        <f>E98</f>
        <v>0.34</v>
      </c>
      <c r="G118" t="s">
        <v>113</v>
      </c>
      <c r="H118">
        <f>E118</f>
        <v>0.34</v>
      </c>
    </row>
    <row r="119" spans="1:8" ht="15.75">
      <c r="A119" t="s">
        <v>49</v>
      </c>
      <c r="B119">
        <f>B117/(1-B117)</f>
        <v>1.8571428571428574</v>
      </c>
      <c r="D119" t="s">
        <v>49</v>
      </c>
      <c r="E119">
        <f>E117/(1-E117)</f>
        <v>1.4999999999999998</v>
      </c>
      <c r="G119" t="s">
        <v>49</v>
      </c>
      <c r="H119">
        <f>H117/(1-H117)</f>
        <v>1.2222222222222225</v>
      </c>
    </row>
    <row r="120" spans="1:8" ht="15.75">
      <c r="A120" t="s">
        <v>50</v>
      </c>
      <c r="B120">
        <f>B119*B118</f>
        <v>0.6314285714285716</v>
      </c>
      <c r="D120" t="s">
        <v>50</v>
      </c>
      <c r="E120">
        <f>E119*E118</f>
        <v>0.51</v>
      </c>
      <c r="G120" t="s">
        <v>50</v>
      </c>
      <c r="H120">
        <f>H119*H118</f>
        <v>0.4155555555555557</v>
      </c>
    </row>
    <row r="121" spans="1:8" ht="15.75">
      <c r="A121" t="s">
        <v>51</v>
      </c>
      <c r="B121">
        <f>B124/(B124+A124)</f>
        <v>0.3870402802101577</v>
      </c>
      <c r="D121" t="s">
        <v>51</v>
      </c>
      <c r="E121">
        <f>E124/(E124+D124)</f>
        <v>0.3870402802101577</v>
      </c>
      <c r="G121" t="s">
        <v>51</v>
      </c>
      <c r="H121">
        <f>H124/(H124+G124)</f>
        <v>0.3870402802101577</v>
      </c>
    </row>
    <row r="123" spans="1:8" ht="15.75">
      <c r="A123" t="s">
        <v>20</v>
      </c>
      <c r="B123" t="s">
        <v>21</v>
      </c>
      <c r="D123" t="s">
        <v>20</v>
      </c>
      <c r="E123" t="s">
        <v>21</v>
      </c>
      <c r="G123" t="s">
        <v>20</v>
      </c>
      <c r="H123" t="s">
        <v>21</v>
      </c>
    </row>
    <row r="124" spans="1:8" ht="15.75">
      <c r="A124">
        <v>0.0001</v>
      </c>
      <c r="B124">
        <f aca="true" t="shared" si="66" ref="B124:B134">$B$120*A124</f>
        <v>6.314285714285717E-05</v>
      </c>
      <c r="D124">
        <v>0.0001</v>
      </c>
      <c r="E124">
        <f>$B$120*D124</f>
        <v>6.314285714285717E-05</v>
      </c>
      <c r="G124">
        <v>0.0001</v>
      </c>
      <c r="H124">
        <f>$B$120*G124</f>
        <v>6.314285714285717E-05</v>
      </c>
    </row>
    <row r="125" spans="1:8" ht="15.75">
      <c r="A125">
        <v>0.0201</v>
      </c>
      <c r="B125">
        <f t="shared" si="66"/>
        <v>0.012691714285714289</v>
      </c>
      <c r="D125">
        <v>0.0201</v>
      </c>
      <c r="E125">
        <f>$E$120*D125</f>
        <v>0.010251</v>
      </c>
      <c r="G125">
        <v>0.0201</v>
      </c>
      <c r="H125">
        <f>$H$120*G125</f>
        <v>0.00835266666666667</v>
      </c>
    </row>
    <row r="126" spans="1:8" ht="15.75">
      <c r="A126">
        <v>0.040100000000000004</v>
      </c>
      <c r="B126">
        <f t="shared" si="66"/>
        <v>0.025320285714285722</v>
      </c>
      <c r="D126">
        <v>0.040100000000000004</v>
      </c>
      <c r="E126">
        <f aca="true" t="shared" si="67" ref="E126:E134">$E$120*D126</f>
        <v>0.020451000000000004</v>
      </c>
      <c r="G126">
        <v>0.040100000000000004</v>
      </c>
      <c r="H126">
        <f aca="true" t="shared" si="68" ref="H126:H134">$H$120*G126</f>
        <v>0.016663777777777784</v>
      </c>
    </row>
    <row r="127" spans="1:8" ht="15.75">
      <c r="A127">
        <v>0.0601</v>
      </c>
      <c r="B127">
        <f t="shared" si="66"/>
        <v>0.03794885714285715</v>
      </c>
      <c r="D127">
        <v>0.0601</v>
      </c>
      <c r="E127">
        <f t="shared" si="67"/>
        <v>0.030651</v>
      </c>
      <c r="G127">
        <v>0.0601</v>
      </c>
      <c r="H127">
        <f t="shared" si="68"/>
        <v>0.024974888888888897</v>
      </c>
    </row>
    <row r="128" spans="1:8" ht="15.75">
      <c r="A128">
        <v>0.0801</v>
      </c>
      <c r="B128">
        <f t="shared" si="66"/>
        <v>0.050577428571428586</v>
      </c>
      <c r="D128">
        <v>0.0801</v>
      </c>
      <c r="E128">
        <f t="shared" si="67"/>
        <v>0.040851000000000005</v>
      </c>
      <c r="G128">
        <v>0.0801</v>
      </c>
      <c r="H128">
        <f t="shared" si="68"/>
        <v>0.03328600000000001</v>
      </c>
    </row>
    <row r="129" spans="1:8" ht="15.75">
      <c r="A129">
        <v>0.10010000000000001</v>
      </c>
      <c r="B129">
        <f t="shared" si="66"/>
        <v>0.06320600000000001</v>
      </c>
      <c r="D129">
        <v>0.10010000000000001</v>
      </c>
      <c r="E129">
        <f t="shared" si="67"/>
        <v>0.051051000000000006</v>
      </c>
      <c r="G129">
        <v>0.10010000000000001</v>
      </c>
      <c r="H129">
        <f t="shared" si="68"/>
        <v>0.041597111111111126</v>
      </c>
    </row>
    <row r="130" spans="1:8" ht="15.75">
      <c r="A130">
        <v>0.1201</v>
      </c>
      <c r="B130">
        <f t="shared" si="66"/>
        <v>0.07583457142857145</v>
      </c>
      <c r="D130">
        <v>0.1201</v>
      </c>
      <c r="E130">
        <f t="shared" si="67"/>
        <v>0.061251</v>
      </c>
      <c r="G130">
        <v>0.1201</v>
      </c>
      <c r="H130">
        <f t="shared" si="68"/>
        <v>0.049908222222222236</v>
      </c>
    </row>
    <row r="131" spans="1:8" ht="15.75">
      <c r="A131">
        <v>0.1401</v>
      </c>
      <c r="B131">
        <f t="shared" si="66"/>
        <v>0.08846314285714288</v>
      </c>
      <c r="D131">
        <v>0.1401</v>
      </c>
      <c r="E131">
        <f t="shared" si="67"/>
        <v>0.071451</v>
      </c>
      <c r="G131">
        <v>0.1401</v>
      </c>
      <c r="H131">
        <f t="shared" si="68"/>
        <v>0.05821933333333335</v>
      </c>
    </row>
    <row r="132" spans="1:8" ht="15.75">
      <c r="A132">
        <v>0.1601</v>
      </c>
      <c r="B132">
        <f t="shared" si="66"/>
        <v>0.1010917142857143</v>
      </c>
      <c r="D132">
        <v>0.1601</v>
      </c>
      <c r="E132">
        <f t="shared" si="67"/>
        <v>0.081651</v>
      </c>
      <c r="G132">
        <v>0.1601</v>
      </c>
      <c r="H132">
        <f t="shared" si="68"/>
        <v>0.06653044444444446</v>
      </c>
    </row>
    <row r="133" spans="1:8" ht="15.75">
      <c r="A133">
        <v>0.18009999999999998</v>
      </c>
      <c r="B133">
        <f t="shared" si="66"/>
        <v>0.11372028571428573</v>
      </c>
      <c r="D133">
        <v>0.18009999999999998</v>
      </c>
      <c r="E133">
        <f t="shared" si="67"/>
        <v>0.09185099999999999</v>
      </c>
      <c r="G133">
        <v>0.18009999999999998</v>
      </c>
      <c r="H133">
        <f t="shared" si="68"/>
        <v>0.07484155555555556</v>
      </c>
    </row>
    <row r="134" spans="1:8" ht="15.75">
      <c r="A134">
        <v>0.2001</v>
      </c>
      <c r="B134">
        <f t="shared" si="66"/>
        <v>0.12634885714285718</v>
      </c>
      <c r="D134">
        <v>0.2001</v>
      </c>
      <c r="E134">
        <f t="shared" si="67"/>
        <v>0.102051</v>
      </c>
      <c r="G134">
        <v>0.2001</v>
      </c>
      <c r="H134">
        <f t="shared" si="68"/>
        <v>0.0831526666666667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I49"/>
  <sheetViews>
    <sheetView workbookViewId="0" topLeftCell="A1">
      <selection activeCell="A7" sqref="A7"/>
    </sheetView>
  </sheetViews>
  <sheetFormatPr defaultColWidth="11.19921875" defaultRowHeight="15"/>
  <cols>
    <col min="1" max="1" width="11.69921875" style="0" customWidth="1"/>
    <col min="4" max="4" width="13.19921875" style="149" customWidth="1"/>
    <col min="6" max="6" width="24.19921875" style="0" customWidth="1"/>
    <col min="7" max="7" width="20.5" style="149" customWidth="1"/>
    <col min="13" max="13" width="10.59765625" style="144" customWidth="1"/>
  </cols>
  <sheetData>
    <row r="1" spans="1:8" ht="21" thickBot="1">
      <c r="A1" s="9" t="s">
        <v>46</v>
      </c>
      <c r="B1" s="10"/>
      <c r="C1" s="11"/>
      <c r="F1" s="1" t="s">
        <v>41</v>
      </c>
      <c r="G1" s="147" t="s">
        <v>42</v>
      </c>
      <c r="H1" s="3">
        <v>71.85</v>
      </c>
    </row>
    <row r="2" spans="1:8" ht="18.75" thickBot="1">
      <c r="A2" s="12"/>
      <c r="B2" s="135">
        <v>0.32</v>
      </c>
      <c r="C2" s="13"/>
      <c r="F2" s="4" t="s">
        <v>43</v>
      </c>
      <c r="G2" s="148" t="s">
        <v>44</v>
      </c>
      <c r="H2" s="6">
        <v>40.3</v>
      </c>
    </row>
    <row r="3" spans="1:7" ht="18.75" thickBot="1">
      <c r="A3" s="9" t="s">
        <v>168</v>
      </c>
      <c r="B3" s="10"/>
      <c r="C3" s="11"/>
      <c r="F3" t="s">
        <v>192</v>
      </c>
      <c r="G3" s="149">
        <f>H2/H1</f>
        <v>0.5608907446068198</v>
      </c>
    </row>
    <row r="4" spans="1:33" ht="18.75" thickBot="1">
      <c r="A4" s="12"/>
      <c r="B4" s="135">
        <v>11.5</v>
      </c>
      <c r="C4" s="13"/>
      <c r="AB4" s="7" t="s">
        <v>193</v>
      </c>
      <c r="AG4" t="s">
        <v>194</v>
      </c>
    </row>
    <row r="5" spans="28:29" ht="15.75">
      <c r="AB5" t="s">
        <v>195</v>
      </c>
      <c r="AC5">
        <v>19.35</v>
      </c>
    </row>
    <row r="6" spans="1:29" ht="21">
      <c r="A6" s="152" t="s">
        <v>171</v>
      </c>
      <c r="B6" s="2"/>
      <c r="C6" s="2"/>
      <c r="D6" s="153"/>
      <c r="F6" s="152" t="s">
        <v>227</v>
      </c>
      <c r="G6" s="153"/>
      <c r="J6" s="138" t="s">
        <v>183</v>
      </c>
      <c r="K6" s="139"/>
      <c r="L6" s="140"/>
      <c r="M6" s="145"/>
      <c r="N6" s="7" t="s">
        <v>182</v>
      </c>
      <c r="R6" t="s">
        <v>47</v>
      </c>
      <c r="AB6" t="s">
        <v>48</v>
      </c>
      <c r="AC6">
        <f>2.58</f>
        <v>2.58</v>
      </c>
    </row>
    <row r="7" spans="1:35" ht="15.75">
      <c r="A7" s="4" t="s">
        <v>58</v>
      </c>
      <c r="B7" s="5" t="s">
        <v>50</v>
      </c>
      <c r="C7" s="5" t="s">
        <v>51</v>
      </c>
      <c r="D7" s="154" t="s">
        <v>170</v>
      </c>
      <c r="F7" s="4" t="s">
        <v>53</v>
      </c>
      <c r="G7" s="154" t="s">
        <v>169</v>
      </c>
      <c r="J7" s="141" t="s">
        <v>189</v>
      </c>
      <c r="K7" s="142" t="s">
        <v>190</v>
      </c>
      <c r="L7" s="143" t="s">
        <v>191</v>
      </c>
      <c r="M7" s="145"/>
      <c r="N7" t="s">
        <v>184</v>
      </c>
      <c r="O7" t="s">
        <v>185</v>
      </c>
      <c r="P7" t="s">
        <v>186</v>
      </c>
      <c r="Q7" t="s">
        <v>187</v>
      </c>
      <c r="R7" t="s">
        <v>54</v>
      </c>
      <c r="S7" t="s">
        <v>55</v>
      </c>
      <c r="T7" t="s">
        <v>38</v>
      </c>
      <c r="U7" t="s">
        <v>180</v>
      </c>
      <c r="V7" t="s">
        <v>188</v>
      </c>
      <c r="W7" t="s">
        <v>189</v>
      </c>
      <c r="Z7" t="s">
        <v>11</v>
      </c>
      <c r="AB7" t="s">
        <v>39</v>
      </c>
      <c r="AC7" t="s">
        <v>195</v>
      </c>
      <c r="AD7" t="s">
        <v>48</v>
      </c>
      <c r="AE7" t="s">
        <v>40</v>
      </c>
      <c r="AG7" t="s">
        <v>195</v>
      </c>
      <c r="AH7" t="s">
        <v>48</v>
      </c>
      <c r="AI7" t="s">
        <v>40</v>
      </c>
    </row>
    <row r="8" spans="1:35" ht="15.75">
      <c r="A8" s="158">
        <v>0.5</v>
      </c>
      <c r="B8" s="149">
        <f aca="true" t="shared" si="0" ref="B8:B49">$B$2*A8</f>
        <v>0.16</v>
      </c>
      <c r="C8" s="149">
        <f>100*B8/(B8+1)</f>
        <v>13.793103448275863</v>
      </c>
      <c r="D8" s="150">
        <f>100*(A8)/(A8+1)</f>
        <v>33.333333333333336</v>
      </c>
      <c r="F8" s="149">
        <f aca="true" t="shared" si="1" ref="F8:F49">B8*$G$3</f>
        <v>0.08974251913709116</v>
      </c>
      <c r="G8" s="155">
        <f aca="true" t="shared" si="2" ref="G8:G49">F8*$B$4</f>
        <v>1.0320389700765484</v>
      </c>
      <c r="J8" s="136">
        <f aca="true" t="shared" si="3" ref="J8:J49">100*W8/X8</f>
        <v>32.87611265139355</v>
      </c>
      <c r="K8" s="136">
        <f aca="true" t="shared" si="4" ref="K8:K49">100*U8/X8</f>
        <v>14.701590544287173</v>
      </c>
      <c r="L8" s="136">
        <f aca="true" t="shared" si="5" ref="L8:L49">100*V8/X8</f>
        <v>52.422296804319274</v>
      </c>
      <c r="N8">
        <f>1/A8</f>
        <v>2</v>
      </c>
      <c r="O8">
        <f>2/(1+N8)</f>
        <v>0.6666666666666666</v>
      </c>
      <c r="P8">
        <f>2-O8</f>
        <v>1.3333333333333335</v>
      </c>
      <c r="Q8">
        <v>1</v>
      </c>
      <c r="R8">
        <f>O8/3</f>
        <v>0.2222222222222222</v>
      </c>
      <c r="S8">
        <f>P8/3</f>
        <v>0.4444444444444445</v>
      </c>
      <c r="T8">
        <f>Q8/3</f>
        <v>0.3333333333333333</v>
      </c>
      <c r="U8">
        <f>O8*$H$2</f>
        <v>26.866666666666664</v>
      </c>
      <c r="V8">
        <f>P8*$H$1</f>
        <v>95.8</v>
      </c>
      <c r="W8">
        <f>Q8*60.08</f>
        <v>60.08</v>
      </c>
      <c r="X8">
        <f>SUM(U8:W8)</f>
        <v>182.74666666666667</v>
      </c>
      <c r="Y8">
        <f aca="true" t="shared" si="6" ref="Y8:Y49">SUM(J8:L8)</f>
        <v>100</v>
      </c>
      <c r="Z8">
        <f aca="true" t="shared" si="7" ref="Z8:Z49">(K8/$H$2)/(K8/$H$2+L8/$H$1)</f>
        <v>0.3333333333333333</v>
      </c>
      <c r="AB8">
        <v>1</v>
      </c>
      <c r="AC8">
        <f>$AC$5</f>
        <v>19.35</v>
      </c>
      <c r="AD8">
        <f>EXP(3.4719-0.85732*LN(AC8))</f>
        <v>2.5393916257873497</v>
      </c>
      <c r="AE8">
        <f>AC8/(AH8+AB8*(1-AH8))</f>
        <v>19.35</v>
      </c>
      <c r="AG8">
        <f>$AC$5</f>
        <v>19.35</v>
      </c>
      <c r="AH8">
        <f>EXP(3.4719-0.85732*LN(AC8))</f>
        <v>2.5393916257873497</v>
      </c>
      <c r="AI8">
        <f>$AC$5*AB8^(AH8-1)</f>
        <v>19.35</v>
      </c>
    </row>
    <row r="9" spans="1:35" ht="15.75">
      <c r="A9" s="158">
        <v>1</v>
      </c>
      <c r="B9" s="149">
        <f t="shared" si="0"/>
        <v>0.32</v>
      </c>
      <c r="C9" s="149">
        <f aca="true" t="shared" si="8" ref="C9:C49">100*B9/(B9+1)</f>
        <v>24.242424242424242</v>
      </c>
      <c r="D9" s="150">
        <f aca="true" t="shared" si="9" ref="D9:D49">100*(A9)/(A9+1)</f>
        <v>50</v>
      </c>
      <c r="F9" s="149">
        <f t="shared" si="1"/>
        <v>0.17948503827418233</v>
      </c>
      <c r="G9" s="155">
        <f t="shared" si="2"/>
        <v>2.064077940153097</v>
      </c>
      <c r="J9" s="136">
        <f t="shared" si="3"/>
        <v>34.88358590257214</v>
      </c>
      <c r="K9" s="136">
        <f t="shared" si="4"/>
        <v>23.398943273529582</v>
      </c>
      <c r="L9" s="136">
        <f t="shared" si="5"/>
        <v>41.717470823898275</v>
      </c>
      <c r="N9">
        <f aca="true" t="shared" si="10" ref="N9:N49">1/A9</f>
        <v>1</v>
      </c>
      <c r="O9">
        <f aca="true" t="shared" si="11" ref="O9:O49">2/(1+N9)</f>
        <v>1</v>
      </c>
      <c r="P9">
        <f aca="true" t="shared" si="12" ref="P9:P49">2-O9</f>
        <v>1</v>
      </c>
      <c r="Q9">
        <v>1</v>
      </c>
      <c r="R9">
        <f aca="true" t="shared" si="13" ref="R9:T49">O9/3</f>
        <v>0.3333333333333333</v>
      </c>
      <c r="S9">
        <f t="shared" si="13"/>
        <v>0.3333333333333333</v>
      </c>
      <c r="T9">
        <f t="shared" si="13"/>
        <v>0.3333333333333333</v>
      </c>
      <c r="U9">
        <f aca="true" t="shared" si="14" ref="U9:U49">O9*$H$2</f>
        <v>40.3</v>
      </c>
      <c r="V9">
        <f aca="true" t="shared" si="15" ref="V9:V49">P9*$H$1</f>
        <v>71.85</v>
      </c>
      <c r="W9">
        <f aca="true" t="shared" si="16" ref="W9:W49">Q9*60.08</f>
        <v>60.08</v>
      </c>
      <c r="X9">
        <f aca="true" t="shared" si="17" ref="X9:X49">SUM(U9:W9)</f>
        <v>172.23</v>
      </c>
      <c r="Y9">
        <f t="shared" si="6"/>
        <v>100</v>
      </c>
      <c r="Z9">
        <f t="shared" si="7"/>
        <v>0.5</v>
      </c>
      <c r="AB9">
        <v>0.99</v>
      </c>
      <c r="AC9">
        <f aca="true" t="shared" si="18" ref="AC9:AC34">$AC$5</f>
        <v>19.35</v>
      </c>
      <c r="AD9">
        <f>EXP(3.4719-0.85732*LN(AC8))</f>
        <v>2.5393916257873497</v>
      </c>
      <c r="AE9">
        <f aca="true" t="shared" si="19" ref="AE9:AE34">AC9/(AD9+AB9*(1-AD9))</f>
        <v>19.056643623897582</v>
      </c>
      <c r="AG9">
        <f>AI8</f>
        <v>19.35</v>
      </c>
      <c r="AH9">
        <f>EXP(3.4719-0.85732*LN(AG8))</f>
        <v>2.5393916257873497</v>
      </c>
      <c r="AI9">
        <f aca="true" t="shared" si="20" ref="AI9:AI34">$AC$5*AB9^(AH9-1)</f>
        <v>19.052932307433192</v>
      </c>
    </row>
    <row r="10" spans="1:35" ht="15.75">
      <c r="A10" s="158">
        <v>1.5</v>
      </c>
      <c r="B10" s="149">
        <f t="shared" si="0"/>
        <v>0.48</v>
      </c>
      <c r="C10" s="149">
        <f t="shared" si="8"/>
        <v>32.432432432432435</v>
      </c>
      <c r="D10" s="150">
        <f t="shared" si="9"/>
        <v>60</v>
      </c>
      <c r="F10" s="149">
        <f t="shared" si="1"/>
        <v>0.26922755741127347</v>
      </c>
      <c r="G10" s="155">
        <f t="shared" si="2"/>
        <v>3.096116910229645</v>
      </c>
      <c r="J10" s="136">
        <f t="shared" si="3"/>
        <v>36.21022179363549</v>
      </c>
      <c r="K10" s="136">
        <f t="shared" si="4"/>
        <v>29.146576663452272</v>
      </c>
      <c r="L10" s="136">
        <f t="shared" si="5"/>
        <v>34.64320154291224</v>
      </c>
      <c r="N10">
        <f t="shared" si="10"/>
        <v>0.6666666666666666</v>
      </c>
      <c r="O10">
        <f t="shared" si="11"/>
        <v>1.2000000000000002</v>
      </c>
      <c r="P10">
        <f t="shared" si="12"/>
        <v>0.7999999999999998</v>
      </c>
      <c r="Q10">
        <v>1</v>
      </c>
      <c r="R10">
        <f t="shared" si="13"/>
        <v>0.4000000000000001</v>
      </c>
      <c r="S10">
        <f t="shared" si="13"/>
        <v>0.2666666666666666</v>
      </c>
      <c r="T10">
        <f t="shared" si="13"/>
        <v>0.3333333333333333</v>
      </c>
      <c r="U10">
        <f t="shared" si="14"/>
        <v>48.36000000000001</v>
      </c>
      <c r="V10">
        <f t="shared" si="15"/>
        <v>57.47999999999998</v>
      </c>
      <c r="W10">
        <f t="shared" si="16"/>
        <v>60.08</v>
      </c>
      <c r="X10">
        <f t="shared" si="17"/>
        <v>165.92</v>
      </c>
      <c r="Y10">
        <f t="shared" si="6"/>
        <v>100</v>
      </c>
      <c r="Z10">
        <f t="shared" si="7"/>
        <v>0.6000000000000001</v>
      </c>
      <c r="AB10">
        <v>0.98</v>
      </c>
      <c r="AC10">
        <f t="shared" si="18"/>
        <v>19.35</v>
      </c>
      <c r="AD10">
        <f aca="true" t="shared" si="21" ref="AD10:AD34">EXP(3.4719-0.85732*LN(AC9))</f>
        <v>2.5393916257873497</v>
      </c>
      <c r="AE10">
        <f t="shared" si="19"/>
        <v>18.77204929046773</v>
      </c>
      <c r="AG10">
        <f aca="true" t="shared" si="22" ref="AG10:AG34">AI9</f>
        <v>19.052932307433192</v>
      </c>
      <c r="AH10">
        <f aca="true" t="shared" si="23" ref="AH10:AH34">EXP(3.4719-0.85732*LN(AG9))</f>
        <v>2.5393916257873497</v>
      </c>
      <c r="AI10">
        <f t="shared" si="20"/>
        <v>18.757478777311732</v>
      </c>
    </row>
    <row r="11" spans="1:35" ht="15.75">
      <c r="A11" s="158">
        <v>2</v>
      </c>
      <c r="B11" s="149">
        <f t="shared" si="0"/>
        <v>0.64</v>
      </c>
      <c r="C11" s="149">
        <f t="shared" si="8"/>
        <v>39.02439024390244</v>
      </c>
      <c r="D11" s="150">
        <f t="shared" si="9"/>
        <v>66.66666666666667</v>
      </c>
      <c r="F11" s="149">
        <f t="shared" si="1"/>
        <v>0.35897007654836466</v>
      </c>
      <c r="G11" s="155">
        <f t="shared" si="2"/>
        <v>4.128155880306194</v>
      </c>
      <c r="J11" s="136">
        <f t="shared" si="3"/>
        <v>37.15216226243972</v>
      </c>
      <c r="K11" s="136">
        <f t="shared" si="4"/>
        <v>33.22752195242611</v>
      </c>
      <c r="L11" s="136">
        <f t="shared" si="5"/>
        <v>29.620315785134192</v>
      </c>
      <c r="N11">
        <f t="shared" si="10"/>
        <v>0.5</v>
      </c>
      <c r="O11">
        <f t="shared" si="11"/>
        <v>1.3333333333333333</v>
      </c>
      <c r="P11">
        <f t="shared" si="12"/>
        <v>0.6666666666666667</v>
      </c>
      <c r="Q11">
        <v>1</v>
      </c>
      <c r="R11">
        <f t="shared" si="13"/>
        <v>0.4444444444444444</v>
      </c>
      <c r="S11">
        <f t="shared" si="13"/>
        <v>0.22222222222222224</v>
      </c>
      <c r="T11">
        <f t="shared" si="13"/>
        <v>0.3333333333333333</v>
      </c>
      <c r="U11">
        <f t="shared" si="14"/>
        <v>53.73333333333333</v>
      </c>
      <c r="V11">
        <f t="shared" si="15"/>
        <v>47.9</v>
      </c>
      <c r="W11">
        <f t="shared" si="16"/>
        <v>60.08</v>
      </c>
      <c r="X11">
        <f t="shared" si="17"/>
        <v>161.7133333333333</v>
      </c>
      <c r="Y11">
        <f t="shared" si="6"/>
        <v>100.00000000000001</v>
      </c>
      <c r="Z11">
        <f t="shared" si="7"/>
        <v>0.6666666666666666</v>
      </c>
      <c r="AB11">
        <v>0.97</v>
      </c>
      <c r="AC11">
        <f t="shared" si="18"/>
        <v>19.35</v>
      </c>
      <c r="AD11">
        <f t="shared" si="21"/>
        <v>2.5393916257873497</v>
      </c>
      <c r="AE11">
        <f t="shared" si="19"/>
        <v>18.495830215622583</v>
      </c>
      <c r="AG11">
        <f t="shared" si="22"/>
        <v>18.757478777311732</v>
      </c>
      <c r="AH11">
        <f t="shared" si="23"/>
        <v>2.573298343075601</v>
      </c>
      <c r="AI11">
        <f t="shared" si="20"/>
        <v>18.444588086433875</v>
      </c>
    </row>
    <row r="12" spans="1:35" ht="15.75">
      <c r="A12" s="158">
        <v>2.5</v>
      </c>
      <c r="B12" s="149">
        <f t="shared" si="0"/>
        <v>0.8</v>
      </c>
      <c r="C12" s="149">
        <f t="shared" si="8"/>
        <v>44.44444444444444</v>
      </c>
      <c r="D12" s="150">
        <f t="shared" si="9"/>
        <v>71.42857142857143</v>
      </c>
      <c r="F12" s="149">
        <f t="shared" si="1"/>
        <v>0.44871259568545585</v>
      </c>
      <c r="G12" s="155">
        <f t="shared" si="2"/>
        <v>5.160194850382743</v>
      </c>
      <c r="J12" s="136">
        <f t="shared" si="3"/>
        <v>37.85554835457622</v>
      </c>
      <c r="K12" s="136">
        <f t="shared" si="4"/>
        <v>36.27493339094117</v>
      </c>
      <c r="L12" s="136">
        <f t="shared" si="5"/>
        <v>25.86951825448261</v>
      </c>
      <c r="N12">
        <f t="shared" si="10"/>
        <v>0.4</v>
      </c>
      <c r="O12">
        <f t="shared" si="11"/>
        <v>1.4285714285714286</v>
      </c>
      <c r="P12">
        <f t="shared" si="12"/>
        <v>0.5714285714285714</v>
      </c>
      <c r="Q12">
        <v>1</v>
      </c>
      <c r="R12">
        <f t="shared" si="13"/>
        <v>0.4761904761904762</v>
      </c>
      <c r="S12">
        <f t="shared" si="13"/>
        <v>0.19047619047619047</v>
      </c>
      <c r="T12">
        <f t="shared" si="13"/>
        <v>0.3333333333333333</v>
      </c>
      <c r="U12">
        <f t="shared" si="14"/>
        <v>57.57142857142857</v>
      </c>
      <c r="V12">
        <f t="shared" si="15"/>
        <v>41.05714285714285</v>
      </c>
      <c r="W12">
        <f t="shared" si="16"/>
        <v>60.08</v>
      </c>
      <c r="X12">
        <f t="shared" si="17"/>
        <v>158.70857142857142</v>
      </c>
      <c r="Y12">
        <f t="shared" si="6"/>
        <v>100</v>
      </c>
      <c r="Z12">
        <f t="shared" si="7"/>
        <v>0.7142857142857143</v>
      </c>
      <c r="AB12">
        <v>0.96</v>
      </c>
      <c r="AC12">
        <f t="shared" si="18"/>
        <v>19.35</v>
      </c>
      <c r="AD12">
        <f t="shared" si="21"/>
        <v>2.5393916257873497</v>
      </c>
      <c r="AE12">
        <f t="shared" si="19"/>
        <v>18.22762205030947</v>
      </c>
      <c r="AG12">
        <f t="shared" si="22"/>
        <v>18.444588086433875</v>
      </c>
      <c r="AH12">
        <f t="shared" si="23"/>
        <v>2.6080089680781375</v>
      </c>
      <c r="AI12">
        <f t="shared" si="20"/>
        <v>18.120615829129815</v>
      </c>
    </row>
    <row r="13" spans="1:35" ht="15.75">
      <c r="A13" s="158">
        <v>3</v>
      </c>
      <c r="B13" s="149">
        <f t="shared" si="0"/>
        <v>0.96</v>
      </c>
      <c r="C13" s="149">
        <f t="shared" si="8"/>
        <v>48.97959183673469</v>
      </c>
      <c r="D13" s="150">
        <f t="shared" si="9"/>
        <v>75</v>
      </c>
      <c r="F13" s="149">
        <f t="shared" si="1"/>
        <v>0.5384551148225469</v>
      </c>
      <c r="G13" s="155">
        <f t="shared" si="2"/>
        <v>6.19223382045929</v>
      </c>
      <c r="J13" s="136">
        <f t="shared" si="3"/>
        <v>38.40081812661788</v>
      </c>
      <c r="K13" s="136">
        <f t="shared" si="4"/>
        <v>38.637307852098054</v>
      </c>
      <c r="L13" s="136">
        <f t="shared" si="5"/>
        <v>22.961874021284075</v>
      </c>
      <c r="N13">
        <f t="shared" si="10"/>
        <v>0.3333333333333333</v>
      </c>
      <c r="O13">
        <f t="shared" si="11"/>
        <v>1.5</v>
      </c>
      <c r="P13">
        <f t="shared" si="12"/>
        <v>0.5</v>
      </c>
      <c r="Q13">
        <v>1</v>
      </c>
      <c r="R13">
        <f t="shared" si="13"/>
        <v>0.5</v>
      </c>
      <c r="S13">
        <f t="shared" si="13"/>
        <v>0.16666666666666666</v>
      </c>
      <c r="T13">
        <f t="shared" si="13"/>
        <v>0.3333333333333333</v>
      </c>
      <c r="U13">
        <f t="shared" si="14"/>
        <v>60.449999999999996</v>
      </c>
      <c r="V13">
        <f t="shared" si="15"/>
        <v>35.925</v>
      </c>
      <c r="W13">
        <f t="shared" si="16"/>
        <v>60.08</v>
      </c>
      <c r="X13">
        <f t="shared" si="17"/>
        <v>156.45499999999998</v>
      </c>
      <c r="Y13">
        <f t="shared" si="6"/>
        <v>100</v>
      </c>
      <c r="Z13">
        <f t="shared" si="7"/>
        <v>0.7500000000000001</v>
      </c>
      <c r="AB13">
        <v>0.95</v>
      </c>
      <c r="AC13">
        <f t="shared" si="18"/>
        <v>19.35</v>
      </c>
      <c r="AD13">
        <f t="shared" si="21"/>
        <v>2.5393916257873497</v>
      </c>
      <c r="AE13">
        <f t="shared" si="19"/>
        <v>17.967081277108893</v>
      </c>
      <c r="AG13">
        <f t="shared" si="22"/>
        <v>18.120615829129815</v>
      </c>
      <c r="AH13">
        <f t="shared" si="23"/>
        <v>2.645892737590384</v>
      </c>
      <c r="AI13">
        <f t="shared" si="20"/>
        <v>17.783466169578023</v>
      </c>
    </row>
    <row r="14" spans="1:35" ht="15.75">
      <c r="A14" s="158">
        <v>3.5</v>
      </c>
      <c r="B14" s="149">
        <f t="shared" si="0"/>
        <v>1.12</v>
      </c>
      <c r="C14" s="149">
        <f t="shared" si="8"/>
        <v>52.83018867924529</v>
      </c>
      <c r="D14" s="150">
        <f t="shared" si="9"/>
        <v>77.77777777777777</v>
      </c>
      <c r="F14" s="149">
        <f t="shared" si="1"/>
        <v>0.6281976339596382</v>
      </c>
      <c r="G14" s="155">
        <f t="shared" si="2"/>
        <v>7.2242727905358395</v>
      </c>
      <c r="J14" s="136">
        <f t="shared" si="3"/>
        <v>38.83589979315101</v>
      </c>
      <c r="K14" s="136">
        <f t="shared" si="4"/>
        <v>40.52229372558034</v>
      </c>
      <c r="L14" s="136">
        <f t="shared" si="5"/>
        <v>20.641806481268663</v>
      </c>
      <c r="N14">
        <f t="shared" si="10"/>
        <v>0.2857142857142857</v>
      </c>
      <c r="O14">
        <f t="shared" si="11"/>
        <v>1.5555555555555558</v>
      </c>
      <c r="P14">
        <f t="shared" si="12"/>
        <v>0.4444444444444442</v>
      </c>
      <c r="Q14">
        <v>1</v>
      </c>
      <c r="R14">
        <f t="shared" si="13"/>
        <v>0.5185185185185186</v>
      </c>
      <c r="S14">
        <f t="shared" si="13"/>
        <v>0.14814814814814806</v>
      </c>
      <c r="T14">
        <f t="shared" si="13"/>
        <v>0.3333333333333333</v>
      </c>
      <c r="U14">
        <f t="shared" si="14"/>
        <v>62.6888888888889</v>
      </c>
      <c r="V14">
        <f t="shared" si="15"/>
        <v>31.933333333333312</v>
      </c>
      <c r="W14">
        <f t="shared" si="16"/>
        <v>60.08</v>
      </c>
      <c r="X14">
        <f t="shared" si="17"/>
        <v>154.7022222222222</v>
      </c>
      <c r="Y14">
        <f t="shared" si="6"/>
        <v>100.00000000000001</v>
      </c>
      <c r="Z14">
        <f t="shared" si="7"/>
        <v>0.7777777777777779</v>
      </c>
      <c r="AB14">
        <v>0.94</v>
      </c>
      <c r="AC14">
        <f t="shared" si="18"/>
        <v>19.35</v>
      </c>
      <c r="AD14">
        <f t="shared" si="21"/>
        <v>2.5393916257873497</v>
      </c>
      <c r="AE14">
        <f t="shared" si="19"/>
        <v>17.713883742406157</v>
      </c>
      <c r="AG14">
        <f t="shared" si="22"/>
        <v>17.783466169578023</v>
      </c>
      <c r="AH14">
        <f t="shared" si="23"/>
        <v>2.6863968872712145</v>
      </c>
      <c r="AI14">
        <f t="shared" si="20"/>
        <v>17.4326682442041</v>
      </c>
    </row>
    <row r="15" spans="1:35" ht="15.75">
      <c r="A15" s="158">
        <v>4</v>
      </c>
      <c r="B15" s="149">
        <f t="shared" si="0"/>
        <v>1.28</v>
      </c>
      <c r="C15" s="149">
        <f t="shared" si="8"/>
        <v>56.14035087719298</v>
      </c>
      <c r="D15" s="150">
        <f t="shared" si="9"/>
        <v>80</v>
      </c>
      <c r="F15" s="149">
        <f t="shared" si="1"/>
        <v>0.7179401530967293</v>
      </c>
      <c r="G15" s="155">
        <f t="shared" si="2"/>
        <v>8.256311760612387</v>
      </c>
      <c r="J15" s="136">
        <f t="shared" si="3"/>
        <v>39.191128506196996</v>
      </c>
      <c r="K15" s="136">
        <f t="shared" si="4"/>
        <v>42.06131767775603</v>
      </c>
      <c r="L15" s="136">
        <f t="shared" si="5"/>
        <v>18.74755381604696</v>
      </c>
      <c r="N15">
        <f t="shared" si="10"/>
        <v>0.25</v>
      </c>
      <c r="O15">
        <f t="shared" si="11"/>
        <v>1.6</v>
      </c>
      <c r="P15">
        <f t="shared" si="12"/>
        <v>0.3999999999999999</v>
      </c>
      <c r="Q15">
        <v>1</v>
      </c>
      <c r="R15">
        <f t="shared" si="13"/>
        <v>0.5333333333333333</v>
      </c>
      <c r="S15">
        <f t="shared" si="13"/>
        <v>0.1333333333333333</v>
      </c>
      <c r="T15">
        <f t="shared" si="13"/>
        <v>0.3333333333333333</v>
      </c>
      <c r="U15">
        <f t="shared" si="14"/>
        <v>64.48</v>
      </c>
      <c r="V15">
        <f t="shared" si="15"/>
        <v>28.73999999999999</v>
      </c>
      <c r="W15">
        <f t="shared" si="16"/>
        <v>60.08</v>
      </c>
      <c r="X15">
        <f t="shared" si="17"/>
        <v>153.3</v>
      </c>
      <c r="Y15">
        <f t="shared" si="6"/>
        <v>99.99999999999999</v>
      </c>
      <c r="Z15">
        <f t="shared" si="7"/>
        <v>0.8</v>
      </c>
      <c r="AB15">
        <v>0.93</v>
      </c>
      <c r="AC15">
        <f t="shared" si="18"/>
        <v>19.35</v>
      </c>
      <c r="AD15">
        <f t="shared" si="21"/>
        <v>2.5393916257873497</v>
      </c>
      <c r="AE15">
        <f t="shared" si="19"/>
        <v>17.46772331094884</v>
      </c>
      <c r="AG15">
        <f t="shared" si="22"/>
        <v>17.4326682442041</v>
      </c>
      <c r="AH15">
        <f t="shared" si="23"/>
        <v>2.7300018444384073</v>
      </c>
      <c r="AI15">
        <f t="shared" si="20"/>
        <v>17.06696949417676</v>
      </c>
    </row>
    <row r="16" spans="1:35" ht="15.75">
      <c r="A16" s="158">
        <v>4.5</v>
      </c>
      <c r="B16" s="149">
        <f t="shared" si="0"/>
        <v>1.44</v>
      </c>
      <c r="C16" s="149">
        <f t="shared" si="8"/>
        <v>59.01639344262295</v>
      </c>
      <c r="D16" s="150">
        <f t="shared" si="9"/>
        <v>81.81818181818181</v>
      </c>
      <c r="F16" s="149">
        <f t="shared" si="1"/>
        <v>0.8076826722338204</v>
      </c>
      <c r="G16" s="155">
        <f t="shared" si="2"/>
        <v>9.288350730688935</v>
      </c>
      <c r="J16" s="136">
        <f t="shared" si="3"/>
        <v>39.48664021796282</v>
      </c>
      <c r="K16" s="136">
        <f t="shared" si="4"/>
        <v>43.34161846948043</v>
      </c>
      <c r="L16" s="136">
        <f t="shared" si="5"/>
        <v>17.17174131255677</v>
      </c>
      <c r="N16">
        <f t="shared" si="10"/>
        <v>0.2222222222222222</v>
      </c>
      <c r="O16">
        <f t="shared" si="11"/>
        <v>1.6363636363636362</v>
      </c>
      <c r="P16">
        <f t="shared" si="12"/>
        <v>0.36363636363636376</v>
      </c>
      <c r="Q16">
        <v>1</v>
      </c>
      <c r="R16">
        <f t="shared" si="13"/>
        <v>0.5454545454545454</v>
      </c>
      <c r="S16">
        <f t="shared" si="13"/>
        <v>0.12121212121212126</v>
      </c>
      <c r="T16">
        <f t="shared" si="13"/>
        <v>0.3333333333333333</v>
      </c>
      <c r="U16">
        <f t="shared" si="14"/>
        <v>65.94545454545454</v>
      </c>
      <c r="V16">
        <f t="shared" si="15"/>
        <v>26.127272727272732</v>
      </c>
      <c r="W16">
        <f t="shared" si="16"/>
        <v>60.08</v>
      </c>
      <c r="X16">
        <f t="shared" si="17"/>
        <v>152.15272727272725</v>
      </c>
      <c r="Y16">
        <f t="shared" si="6"/>
        <v>100.00000000000003</v>
      </c>
      <c r="Z16">
        <f t="shared" si="7"/>
        <v>0.8181818181818181</v>
      </c>
      <c r="AB16">
        <v>0.92</v>
      </c>
      <c r="AC16">
        <f t="shared" si="18"/>
        <v>19.35</v>
      </c>
      <c r="AD16">
        <f t="shared" si="21"/>
        <v>2.5393916257873497</v>
      </c>
      <c r="AE16">
        <f t="shared" si="19"/>
        <v>17.228310631048114</v>
      </c>
      <c r="AG16">
        <f t="shared" si="22"/>
        <v>17.06696949417676</v>
      </c>
      <c r="AH16">
        <f t="shared" si="23"/>
        <v>2.7770323741733844</v>
      </c>
      <c r="AI16">
        <f t="shared" si="20"/>
        <v>16.68517500616363</v>
      </c>
    </row>
    <row r="17" spans="1:35" ht="15.75">
      <c r="A17" s="158">
        <v>5</v>
      </c>
      <c r="B17" s="149">
        <f t="shared" si="0"/>
        <v>1.6</v>
      </c>
      <c r="C17" s="149">
        <f t="shared" si="8"/>
        <v>61.53846153846153</v>
      </c>
      <c r="D17" s="150">
        <f t="shared" si="9"/>
        <v>83.33333333333333</v>
      </c>
      <c r="F17" s="149">
        <f t="shared" si="1"/>
        <v>0.8974251913709117</v>
      </c>
      <c r="G17" s="155">
        <f t="shared" si="2"/>
        <v>10.320389700765485</v>
      </c>
      <c r="J17" s="136">
        <f t="shared" si="3"/>
        <v>39.73632575674067</v>
      </c>
      <c r="K17" s="136">
        <f t="shared" si="4"/>
        <v>44.42337794043079</v>
      </c>
      <c r="L17" s="136">
        <f t="shared" si="5"/>
        <v>15.840296302828541</v>
      </c>
      <c r="N17">
        <f t="shared" si="10"/>
        <v>0.2</v>
      </c>
      <c r="O17">
        <f t="shared" si="11"/>
        <v>1.6666666666666667</v>
      </c>
      <c r="P17">
        <f t="shared" si="12"/>
        <v>0.33333333333333326</v>
      </c>
      <c r="Q17">
        <v>1</v>
      </c>
      <c r="R17">
        <f t="shared" si="13"/>
        <v>0.5555555555555556</v>
      </c>
      <c r="S17">
        <f t="shared" si="13"/>
        <v>0.11111111111111109</v>
      </c>
      <c r="T17">
        <f t="shared" si="13"/>
        <v>0.3333333333333333</v>
      </c>
      <c r="U17">
        <f t="shared" si="14"/>
        <v>67.16666666666667</v>
      </c>
      <c r="V17">
        <f t="shared" si="15"/>
        <v>23.949999999999992</v>
      </c>
      <c r="W17">
        <f t="shared" si="16"/>
        <v>60.08</v>
      </c>
      <c r="X17">
        <f t="shared" si="17"/>
        <v>151.19666666666666</v>
      </c>
      <c r="Y17">
        <f t="shared" si="6"/>
        <v>100</v>
      </c>
      <c r="Z17">
        <f t="shared" si="7"/>
        <v>0.8333333333333335</v>
      </c>
      <c r="AB17">
        <v>0.91</v>
      </c>
      <c r="AC17">
        <f t="shared" si="18"/>
        <v>19.35</v>
      </c>
      <c r="AD17">
        <f t="shared" si="21"/>
        <v>2.5393916257873497</v>
      </c>
      <c r="AE17">
        <f t="shared" si="19"/>
        <v>16.995371999951985</v>
      </c>
      <c r="AG17">
        <f t="shared" si="22"/>
        <v>16.68517500616363</v>
      </c>
      <c r="AH17">
        <f t="shared" si="23"/>
        <v>2.827969208038954</v>
      </c>
      <c r="AI17">
        <f t="shared" si="20"/>
        <v>16.285829948472163</v>
      </c>
    </row>
    <row r="18" spans="1:35" ht="15.75">
      <c r="A18" s="158">
        <v>5.5</v>
      </c>
      <c r="B18" s="149">
        <f t="shared" si="0"/>
        <v>1.76</v>
      </c>
      <c r="C18" s="149">
        <f t="shared" si="8"/>
        <v>63.76811594202899</v>
      </c>
      <c r="D18" s="150">
        <f t="shared" si="9"/>
        <v>84.61538461538461</v>
      </c>
      <c r="F18" s="149">
        <f t="shared" si="1"/>
        <v>0.9871677105080028</v>
      </c>
      <c r="G18" s="155">
        <f t="shared" si="2"/>
        <v>11.352428670842032</v>
      </c>
      <c r="J18" s="136">
        <f t="shared" si="3"/>
        <v>39.95007774776987</v>
      </c>
      <c r="K18" s="136">
        <f t="shared" si="4"/>
        <v>45.34945576561093</v>
      </c>
      <c r="L18" s="136">
        <f t="shared" si="5"/>
        <v>14.7004664866192</v>
      </c>
      <c r="N18">
        <f t="shared" si="10"/>
        <v>0.18181818181818182</v>
      </c>
      <c r="O18">
        <f t="shared" si="11"/>
        <v>1.6923076923076923</v>
      </c>
      <c r="P18">
        <f t="shared" si="12"/>
        <v>0.3076923076923077</v>
      </c>
      <c r="Q18">
        <v>1</v>
      </c>
      <c r="R18">
        <f t="shared" si="13"/>
        <v>0.5641025641025641</v>
      </c>
      <c r="S18">
        <f t="shared" si="13"/>
        <v>0.10256410256410257</v>
      </c>
      <c r="T18">
        <f t="shared" si="13"/>
        <v>0.3333333333333333</v>
      </c>
      <c r="U18">
        <f t="shared" si="14"/>
        <v>68.19999999999999</v>
      </c>
      <c r="V18">
        <f t="shared" si="15"/>
        <v>22.107692307692307</v>
      </c>
      <c r="W18">
        <f t="shared" si="16"/>
        <v>60.08</v>
      </c>
      <c r="X18">
        <f t="shared" si="17"/>
        <v>150.3876923076923</v>
      </c>
      <c r="Y18">
        <f t="shared" si="6"/>
        <v>100</v>
      </c>
      <c r="Z18">
        <f t="shared" si="7"/>
        <v>0.8461538461538461</v>
      </c>
      <c r="AB18">
        <v>0.9</v>
      </c>
      <c r="AC18">
        <f t="shared" si="18"/>
        <v>19.35</v>
      </c>
      <c r="AD18">
        <f t="shared" si="21"/>
        <v>2.5393916257873497</v>
      </c>
      <c r="AE18">
        <f t="shared" si="19"/>
        <v>16.768648320036302</v>
      </c>
      <c r="AG18">
        <f t="shared" si="22"/>
        <v>16.285829948472163</v>
      </c>
      <c r="AH18">
        <f t="shared" si="23"/>
        <v>2.8833568789940967</v>
      </c>
      <c r="AI18">
        <f t="shared" si="20"/>
        <v>15.867309199835095</v>
      </c>
    </row>
    <row r="19" spans="1:35" ht="15.75">
      <c r="A19" s="158">
        <v>6</v>
      </c>
      <c r="B19" s="149">
        <f t="shared" si="0"/>
        <v>1.92</v>
      </c>
      <c r="C19" s="149">
        <f t="shared" si="8"/>
        <v>65.75342465753425</v>
      </c>
      <c r="D19" s="150">
        <f t="shared" si="9"/>
        <v>85.71428571428571</v>
      </c>
      <c r="F19" s="149">
        <f t="shared" si="1"/>
        <v>1.0769102296450939</v>
      </c>
      <c r="G19" s="155">
        <f t="shared" si="2"/>
        <v>12.38446764091858</v>
      </c>
      <c r="J19" s="136">
        <f t="shared" si="3"/>
        <v>40.13513255587579</v>
      </c>
      <c r="K19" s="136">
        <f t="shared" si="4"/>
        <v>46.15120340503503</v>
      </c>
      <c r="L19" s="136">
        <f t="shared" si="5"/>
        <v>13.713664039089196</v>
      </c>
      <c r="N19">
        <f t="shared" si="10"/>
        <v>0.16666666666666666</v>
      </c>
      <c r="O19">
        <f t="shared" si="11"/>
        <v>1.7142857142857142</v>
      </c>
      <c r="P19">
        <f t="shared" si="12"/>
        <v>0.2857142857142858</v>
      </c>
      <c r="Q19">
        <v>1</v>
      </c>
      <c r="R19">
        <f t="shared" si="13"/>
        <v>0.5714285714285714</v>
      </c>
      <c r="S19">
        <f t="shared" si="13"/>
        <v>0.09523809523809527</v>
      </c>
      <c r="T19">
        <f t="shared" si="13"/>
        <v>0.3333333333333333</v>
      </c>
      <c r="U19">
        <f t="shared" si="14"/>
        <v>69.08571428571427</v>
      </c>
      <c r="V19">
        <f t="shared" si="15"/>
        <v>20.528571428571432</v>
      </c>
      <c r="W19">
        <f t="shared" si="16"/>
        <v>60.08</v>
      </c>
      <c r="X19">
        <f t="shared" si="17"/>
        <v>149.69428571428568</v>
      </c>
      <c r="Y19">
        <f t="shared" si="6"/>
        <v>100.00000000000001</v>
      </c>
      <c r="Z19">
        <f t="shared" si="7"/>
        <v>0.8571428571428571</v>
      </c>
      <c r="AB19">
        <v>0.89</v>
      </c>
      <c r="AC19">
        <f t="shared" si="18"/>
        <v>19.35</v>
      </c>
      <c r="AD19">
        <f t="shared" si="21"/>
        <v>2.5393916257873497</v>
      </c>
      <c r="AE19">
        <f t="shared" si="19"/>
        <v>16.547894137444295</v>
      </c>
      <c r="AG19">
        <f t="shared" si="22"/>
        <v>15.867309199835095</v>
      </c>
      <c r="AH19">
        <f t="shared" si="23"/>
        <v>2.9438667740428937</v>
      </c>
      <c r="AI19">
        <f t="shared" si="20"/>
        <v>15.427724854216603</v>
      </c>
    </row>
    <row r="20" spans="1:35" ht="15.75">
      <c r="A20" s="158">
        <v>6.5</v>
      </c>
      <c r="B20" s="149">
        <f t="shared" si="0"/>
        <v>2.08</v>
      </c>
      <c r="C20" s="149">
        <f t="shared" si="8"/>
        <v>67.53246753246754</v>
      </c>
      <c r="D20" s="150">
        <f t="shared" si="9"/>
        <v>86.66666666666667</v>
      </c>
      <c r="F20" s="149">
        <f t="shared" si="1"/>
        <v>1.1666527487821852</v>
      </c>
      <c r="G20" s="155">
        <f t="shared" si="2"/>
        <v>13.41650661099513</v>
      </c>
      <c r="J20" s="136">
        <f t="shared" si="3"/>
        <v>40.29690574137007</v>
      </c>
      <c r="K20" s="136">
        <f t="shared" si="4"/>
        <v>46.852083705956</v>
      </c>
      <c r="L20" s="136">
        <f t="shared" si="5"/>
        <v>12.851010552673937</v>
      </c>
      <c r="N20">
        <f t="shared" si="10"/>
        <v>0.15384615384615385</v>
      </c>
      <c r="O20">
        <f t="shared" si="11"/>
        <v>1.7333333333333334</v>
      </c>
      <c r="P20">
        <f t="shared" si="12"/>
        <v>0.2666666666666666</v>
      </c>
      <c r="Q20">
        <v>1</v>
      </c>
      <c r="R20">
        <f t="shared" si="13"/>
        <v>0.5777777777777778</v>
      </c>
      <c r="S20">
        <f t="shared" si="13"/>
        <v>0.08888888888888886</v>
      </c>
      <c r="T20">
        <f t="shared" si="13"/>
        <v>0.3333333333333333</v>
      </c>
      <c r="U20">
        <f t="shared" si="14"/>
        <v>69.85333333333332</v>
      </c>
      <c r="V20">
        <f t="shared" si="15"/>
        <v>19.159999999999993</v>
      </c>
      <c r="W20">
        <f t="shared" si="16"/>
        <v>60.08</v>
      </c>
      <c r="X20">
        <f t="shared" si="17"/>
        <v>149.0933333333333</v>
      </c>
      <c r="Y20">
        <f t="shared" si="6"/>
        <v>100.00000000000001</v>
      </c>
      <c r="Z20">
        <f t="shared" si="7"/>
        <v>0.8666666666666667</v>
      </c>
      <c r="AB20">
        <v>0.88</v>
      </c>
      <c r="AC20">
        <f t="shared" si="18"/>
        <v>19.35</v>
      </c>
      <c r="AD20">
        <f t="shared" si="21"/>
        <v>2.5393916257873497</v>
      </c>
      <c r="AE20">
        <f t="shared" si="19"/>
        <v>16.332876755675546</v>
      </c>
      <c r="AG20">
        <f t="shared" si="22"/>
        <v>15.427724854216603</v>
      </c>
      <c r="AH20">
        <f t="shared" si="23"/>
        <v>3.010312178923554</v>
      </c>
      <c r="AI20">
        <f t="shared" si="20"/>
        <v>14.964899653306333</v>
      </c>
    </row>
    <row r="21" spans="1:35" ht="15.75">
      <c r="A21" s="158">
        <v>7</v>
      </c>
      <c r="B21" s="149">
        <f t="shared" si="0"/>
        <v>2.24</v>
      </c>
      <c r="C21" s="149">
        <f t="shared" si="8"/>
        <v>69.13580246913581</v>
      </c>
      <c r="D21" s="150">
        <f t="shared" si="9"/>
        <v>87.5</v>
      </c>
      <c r="F21" s="149">
        <f t="shared" si="1"/>
        <v>1.2563952679192765</v>
      </c>
      <c r="G21" s="155">
        <f t="shared" si="2"/>
        <v>14.448545581071679</v>
      </c>
      <c r="J21" s="136">
        <f t="shared" si="3"/>
        <v>40.43953085297929</v>
      </c>
      <c r="K21" s="136">
        <f t="shared" si="4"/>
        <v>47.47000521648408</v>
      </c>
      <c r="L21" s="136">
        <f t="shared" si="5"/>
        <v>12.090463930536623</v>
      </c>
      <c r="N21">
        <f t="shared" si="10"/>
        <v>0.14285714285714285</v>
      </c>
      <c r="O21">
        <f t="shared" si="11"/>
        <v>1.75</v>
      </c>
      <c r="P21">
        <f t="shared" si="12"/>
        <v>0.25</v>
      </c>
      <c r="Q21">
        <v>1</v>
      </c>
      <c r="R21">
        <f t="shared" si="13"/>
        <v>0.5833333333333334</v>
      </c>
      <c r="S21">
        <f t="shared" si="13"/>
        <v>0.08333333333333333</v>
      </c>
      <c r="T21">
        <f t="shared" si="13"/>
        <v>0.3333333333333333</v>
      </c>
      <c r="U21">
        <f t="shared" si="14"/>
        <v>70.52499999999999</v>
      </c>
      <c r="V21">
        <f t="shared" si="15"/>
        <v>17.9625</v>
      </c>
      <c r="W21">
        <f t="shared" si="16"/>
        <v>60.08</v>
      </c>
      <c r="X21">
        <f t="shared" si="17"/>
        <v>148.5675</v>
      </c>
      <c r="Y21">
        <f t="shared" si="6"/>
        <v>100</v>
      </c>
      <c r="Z21">
        <f t="shared" si="7"/>
        <v>0.875</v>
      </c>
      <c r="AB21">
        <v>0.87</v>
      </c>
      <c r="AC21">
        <f t="shared" si="18"/>
        <v>19.35</v>
      </c>
      <c r="AD21">
        <f t="shared" si="21"/>
        <v>2.5393916257873497</v>
      </c>
      <c r="AE21">
        <f t="shared" si="19"/>
        <v>16.12337541739479</v>
      </c>
      <c r="AG21">
        <f t="shared" si="22"/>
        <v>14.964899653306333</v>
      </c>
      <c r="AH21">
        <f t="shared" si="23"/>
        <v>3.083699425088265</v>
      </c>
      <c r="AI21">
        <f t="shared" si="20"/>
        <v>14.476289872278471</v>
      </c>
    </row>
    <row r="22" spans="1:35" ht="15.75">
      <c r="A22" s="158">
        <v>7.5</v>
      </c>
      <c r="B22" s="149">
        <f t="shared" si="0"/>
        <v>2.4</v>
      </c>
      <c r="C22" s="149">
        <f t="shared" si="8"/>
        <v>70.58823529411765</v>
      </c>
      <c r="D22" s="150">
        <f t="shared" si="9"/>
        <v>88.23529411764706</v>
      </c>
      <c r="F22" s="149">
        <f t="shared" si="1"/>
        <v>1.3461377870563673</v>
      </c>
      <c r="G22" s="155">
        <f t="shared" si="2"/>
        <v>15.480584551148224</v>
      </c>
      <c r="J22" s="136">
        <f t="shared" si="3"/>
        <v>40.56621759023894</v>
      </c>
      <c r="K22" s="136">
        <f t="shared" si="4"/>
        <v>48.01887391967463</v>
      </c>
      <c r="L22" s="136">
        <f t="shared" si="5"/>
        <v>11.414908490086429</v>
      </c>
      <c r="N22">
        <f t="shared" si="10"/>
        <v>0.13333333333333333</v>
      </c>
      <c r="O22">
        <f t="shared" si="11"/>
        <v>1.7647058823529411</v>
      </c>
      <c r="P22">
        <f t="shared" si="12"/>
        <v>0.23529411764705888</v>
      </c>
      <c r="Q22">
        <v>1</v>
      </c>
      <c r="R22">
        <f t="shared" si="13"/>
        <v>0.5882352941176471</v>
      </c>
      <c r="S22">
        <f t="shared" si="13"/>
        <v>0.07843137254901962</v>
      </c>
      <c r="T22">
        <f t="shared" si="13"/>
        <v>0.3333333333333333</v>
      </c>
      <c r="U22">
        <f t="shared" si="14"/>
        <v>71.11764705882352</v>
      </c>
      <c r="V22">
        <f t="shared" si="15"/>
        <v>16.90588235294118</v>
      </c>
      <c r="W22">
        <f t="shared" si="16"/>
        <v>60.08</v>
      </c>
      <c r="X22">
        <f t="shared" si="17"/>
        <v>148.1035294117647</v>
      </c>
      <c r="Y22">
        <f t="shared" si="6"/>
        <v>100.00000000000001</v>
      </c>
      <c r="Z22">
        <f t="shared" si="7"/>
        <v>0.8823529411764707</v>
      </c>
      <c r="AB22">
        <v>0.86</v>
      </c>
      <c r="AC22">
        <f t="shared" si="18"/>
        <v>19.35</v>
      </c>
      <c r="AD22">
        <f t="shared" si="21"/>
        <v>2.5393916257873497</v>
      </c>
      <c r="AE22">
        <f t="shared" si="19"/>
        <v>15.919180548412722</v>
      </c>
      <c r="AG22">
        <f t="shared" si="22"/>
        <v>14.476289872278471</v>
      </c>
      <c r="AH22">
        <f t="shared" si="23"/>
        <v>3.1652843737671956</v>
      </c>
      <c r="AI22">
        <f t="shared" si="20"/>
        <v>13.958909428668859</v>
      </c>
    </row>
    <row r="23" spans="1:35" ht="15.75">
      <c r="A23" s="158">
        <v>8</v>
      </c>
      <c r="B23" s="149">
        <f t="shared" si="0"/>
        <v>2.56</v>
      </c>
      <c r="C23" s="149">
        <f t="shared" si="8"/>
        <v>71.91011235955057</v>
      </c>
      <c r="D23" s="150">
        <f t="shared" si="9"/>
        <v>88.88888888888889</v>
      </c>
      <c r="F23" s="149">
        <f t="shared" si="1"/>
        <v>1.4358803061934586</v>
      </c>
      <c r="G23" s="155">
        <f t="shared" si="2"/>
        <v>16.512623521224775</v>
      </c>
      <c r="J23" s="136">
        <f t="shared" si="3"/>
        <v>40.67949624591866</v>
      </c>
      <c r="K23" s="136">
        <f t="shared" si="4"/>
        <v>48.50965227727539</v>
      </c>
      <c r="L23" s="136">
        <f t="shared" si="5"/>
        <v>10.81085147680595</v>
      </c>
      <c r="N23">
        <f t="shared" si="10"/>
        <v>0.125</v>
      </c>
      <c r="O23">
        <f t="shared" si="11"/>
        <v>1.7777777777777777</v>
      </c>
      <c r="P23">
        <f t="shared" si="12"/>
        <v>0.22222222222222232</v>
      </c>
      <c r="Q23">
        <v>1</v>
      </c>
      <c r="R23">
        <f t="shared" si="13"/>
        <v>0.5925925925925926</v>
      </c>
      <c r="S23">
        <f t="shared" si="13"/>
        <v>0.07407407407407411</v>
      </c>
      <c r="T23">
        <f t="shared" si="13"/>
        <v>0.3333333333333333</v>
      </c>
      <c r="U23">
        <f t="shared" si="14"/>
        <v>71.64444444444443</v>
      </c>
      <c r="V23">
        <f t="shared" si="15"/>
        <v>15.966666666666672</v>
      </c>
      <c r="W23">
        <f t="shared" si="16"/>
        <v>60.08</v>
      </c>
      <c r="X23">
        <f t="shared" si="17"/>
        <v>147.6911111111111</v>
      </c>
      <c r="Y23">
        <f t="shared" si="6"/>
        <v>100.00000000000001</v>
      </c>
      <c r="Z23">
        <f t="shared" si="7"/>
        <v>0.8888888888888887</v>
      </c>
      <c r="AB23">
        <v>0.85</v>
      </c>
      <c r="AC23">
        <f t="shared" si="18"/>
        <v>19.35</v>
      </c>
      <c r="AD23">
        <f t="shared" si="21"/>
        <v>2.5393916257873497</v>
      </c>
      <c r="AE23">
        <f t="shared" si="19"/>
        <v>15.720093058396083</v>
      </c>
      <c r="AG23">
        <f t="shared" si="22"/>
        <v>13.958909428668859</v>
      </c>
      <c r="AH23">
        <f t="shared" si="23"/>
        <v>3.256659252750051</v>
      </c>
      <c r="AI23">
        <f t="shared" si="20"/>
        <v>13.40922058227925</v>
      </c>
    </row>
    <row r="24" spans="1:35" ht="15.75">
      <c r="A24" s="158">
        <v>8.5</v>
      </c>
      <c r="B24" s="149">
        <f t="shared" si="0"/>
        <v>2.72</v>
      </c>
      <c r="C24" s="149">
        <f t="shared" si="8"/>
        <v>73.11827956989247</v>
      </c>
      <c r="D24" s="150">
        <f t="shared" si="9"/>
        <v>89.47368421052632</v>
      </c>
      <c r="F24" s="149">
        <f t="shared" si="1"/>
        <v>1.52562282533055</v>
      </c>
      <c r="G24" s="155">
        <f t="shared" si="2"/>
        <v>17.544662491301324</v>
      </c>
      <c r="J24" s="136">
        <f t="shared" si="3"/>
        <v>40.78138843636572</v>
      </c>
      <c r="K24" s="136">
        <f t="shared" si="4"/>
        <v>48.95109891680242</v>
      </c>
      <c r="L24" s="136">
        <f t="shared" si="5"/>
        <v>10.267512646831861</v>
      </c>
      <c r="N24">
        <f t="shared" si="10"/>
        <v>0.11764705882352941</v>
      </c>
      <c r="O24">
        <f t="shared" si="11"/>
        <v>1.7894736842105263</v>
      </c>
      <c r="P24">
        <f t="shared" si="12"/>
        <v>0.21052631578947367</v>
      </c>
      <c r="Q24">
        <v>1</v>
      </c>
      <c r="R24">
        <f t="shared" si="13"/>
        <v>0.5964912280701754</v>
      </c>
      <c r="S24">
        <f t="shared" si="13"/>
        <v>0.07017543859649122</v>
      </c>
      <c r="T24">
        <f t="shared" si="13"/>
        <v>0.3333333333333333</v>
      </c>
      <c r="U24">
        <f t="shared" si="14"/>
        <v>72.1157894736842</v>
      </c>
      <c r="V24">
        <f t="shared" si="15"/>
        <v>15.126315789473683</v>
      </c>
      <c r="W24">
        <f t="shared" si="16"/>
        <v>60.08</v>
      </c>
      <c r="X24">
        <f t="shared" si="17"/>
        <v>147.32210526315788</v>
      </c>
      <c r="Y24">
        <f t="shared" si="6"/>
        <v>100</v>
      </c>
      <c r="Z24">
        <f t="shared" si="7"/>
        <v>0.8947368421052632</v>
      </c>
      <c r="AB24">
        <v>0.84</v>
      </c>
      <c r="AC24">
        <f t="shared" si="18"/>
        <v>19.35</v>
      </c>
      <c r="AD24">
        <f t="shared" si="21"/>
        <v>2.5393916257873497</v>
      </c>
      <c r="AE24">
        <f t="shared" si="19"/>
        <v>15.525923693402138</v>
      </c>
      <c r="AG24">
        <f t="shared" si="22"/>
        <v>13.40922058227925</v>
      </c>
      <c r="AH24">
        <f t="shared" si="23"/>
        <v>3.3598735497994854</v>
      </c>
      <c r="AI24">
        <f t="shared" si="20"/>
        <v>12.82300050468638</v>
      </c>
    </row>
    <row r="25" spans="1:35" ht="15.75">
      <c r="A25" s="158">
        <v>9</v>
      </c>
      <c r="B25" s="149">
        <f t="shared" si="0"/>
        <v>2.88</v>
      </c>
      <c r="C25" s="149">
        <f t="shared" si="8"/>
        <v>74.22680412371135</v>
      </c>
      <c r="D25" s="150">
        <f t="shared" si="9"/>
        <v>90</v>
      </c>
      <c r="F25" s="149">
        <f t="shared" si="1"/>
        <v>1.6153653444676408</v>
      </c>
      <c r="G25" s="155">
        <f t="shared" si="2"/>
        <v>18.57670146137787</v>
      </c>
      <c r="J25" s="136">
        <f t="shared" si="3"/>
        <v>40.87352881148377</v>
      </c>
      <c r="K25" s="136">
        <f t="shared" si="4"/>
        <v>49.35029593849921</v>
      </c>
      <c r="L25" s="136">
        <f t="shared" si="5"/>
        <v>9.776175250017015</v>
      </c>
      <c r="N25">
        <f t="shared" si="10"/>
        <v>0.1111111111111111</v>
      </c>
      <c r="O25">
        <f t="shared" si="11"/>
        <v>1.7999999999999998</v>
      </c>
      <c r="P25">
        <f t="shared" si="12"/>
        <v>0.20000000000000018</v>
      </c>
      <c r="Q25">
        <v>1</v>
      </c>
      <c r="R25">
        <f t="shared" si="13"/>
        <v>0.6</v>
      </c>
      <c r="S25">
        <f t="shared" si="13"/>
        <v>0.06666666666666672</v>
      </c>
      <c r="T25">
        <f t="shared" si="13"/>
        <v>0.3333333333333333</v>
      </c>
      <c r="U25">
        <f t="shared" si="14"/>
        <v>72.53999999999999</v>
      </c>
      <c r="V25">
        <f t="shared" si="15"/>
        <v>14.370000000000012</v>
      </c>
      <c r="W25">
        <f t="shared" si="16"/>
        <v>60.08</v>
      </c>
      <c r="X25">
        <f t="shared" si="17"/>
        <v>146.99</v>
      </c>
      <c r="Y25">
        <f t="shared" si="6"/>
        <v>100</v>
      </c>
      <c r="Z25">
        <f t="shared" si="7"/>
        <v>0.8999999999999998</v>
      </c>
      <c r="AB25">
        <v>0.83</v>
      </c>
      <c r="AC25">
        <f t="shared" si="18"/>
        <v>19.35</v>
      </c>
      <c r="AD25">
        <f t="shared" si="21"/>
        <v>2.5393916257873497</v>
      </c>
      <c r="AE25">
        <f t="shared" si="19"/>
        <v>15.336492435811364</v>
      </c>
      <c r="AG25">
        <f t="shared" si="22"/>
        <v>12.82300050468638</v>
      </c>
      <c r="AH25">
        <f t="shared" si="23"/>
        <v>3.4776143006638898</v>
      </c>
      <c r="AI25">
        <f t="shared" si="20"/>
        <v>12.195165368296705</v>
      </c>
    </row>
    <row r="26" spans="1:35" s="55" customFormat="1" ht="15.75">
      <c r="A26" s="159">
        <v>9.5</v>
      </c>
      <c r="B26" s="157">
        <f t="shared" si="0"/>
        <v>3.04</v>
      </c>
      <c r="C26" s="157">
        <f t="shared" si="8"/>
        <v>75.24752475247524</v>
      </c>
      <c r="D26" s="151">
        <f t="shared" si="9"/>
        <v>90.47619047619048</v>
      </c>
      <c r="F26" s="157">
        <f t="shared" si="1"/>
        <v>1.705107863604732</v>
      </c>
      <c r="G26" s="156">
        <f t="shared" si="2"/>
        <v>19.608740431454418</v>
      </c>
      <c r="J26" s="137">
        <f t="shared" si="3"/>
        <v>40.95725341505221</v>
      </c>
      <c r="K26" s="137">
        <f t="shared" si="4"/>
        <v>49.71303173531398</v>
      </c>
      <c r="L26" s="137">
        <f t="shared" si="5"/>
        <v>9.329714849633811</v>
      </c>
      <c r="M26" s="146"/>
      <c r="N26" s="55">
        <f t="shared" si="10"/>
        <v>0.10526315789473684</v>
      </c>
      <c r="O26" s="55">
        <f t="shared" si="11"/>
        <v>1.8095238095238098</v>
      </c>
      <c r="P26" s="55">
        <f t="shared" si="12"/>
        <v>0.19047619047619024</v>
      </c>
      <c r="Q26" s="55">
        <v>1</v>
      </c>
      <c r="R26" s="55">
        <f t="shared" si="13"/>
        <v>0.6031746031746033</v>
      </c>
      <c r="S26" s="55">
        <f t="shared" si="13"/>
        <v>0.06349206349206342</v>
      </c>
      <c r="T26" s="55">
        <f t="shared" si="13"/>
        <v>0.3333333333333333</v>
      </c>
      <c r="U26" s="55">
        <f t="shared" si="14"/>
        <v>72.92380952380952</v>
      </c>
      <c r="V26" s="55">
        <f t="shared" si="15"/>
        <v>13.685714285714267</v>
      </c>
      <c r="W26" s="55">
        <f t="shared" si="16"/>
        <v>60.08</v>
      </c>
      <c r="X26" s="55">
        <f t="shared" si="17"/>
        <v>146.6895238095238</v>
      </c>
      <c r="Y26" s="55">
        <f t="shared" si="6"/>
        <v>100.00000000000001</v>
      </c>
      <c r="Z26" s="55">
        <f t="shared" si="7"/>
        <v>0.9047619047619049</v>
      </c>
      <c r="AB26" s="55">
        <v>0.82</v>
      </c>
      <c r="AC26" s="55">
        <f t="shared" si="18"/>
        <v>19.35</v>
      </c>
      <c r="AD26" s="55">
        <f t="shared" si="21"/>
        <v>2.5393916257873497</v>
      </c>
      <c r="AE26" s="55">
        <f t="shared" si="19"/>
        <v>15.151627947659055</v>
      </c>
      <c r="AG26" s="55">
        <f t="shared" si="22"/>
        <v>12.195165368296705</v>
      </c>
      <c r="AH26" s="55">
        <f t="shared" si="23"/>
        <v>3.6134771847521074</v>
      </c>
      <c r="AI26" s="55">
        <f t="shared" si="20"/>
        <v>11.519548005086149</v>
      </c>
    </row>
    <row r="27" spans="1:35" s="55" customFormat="1" ht="15.75">
      <c r="A27" s="159">
        <v>10</v>
      </c>
      <c r="B27" s="157">
        <f t="shared" si="0"/>
        <v>3.2</v>
      </c>
      <c r="C27" s="157">
        <f t="shared" si="8"/>
        <v>76.19047619047619</v>
      </c>
      <c r="D27" s="151">
        <f t="shared" si="9"/>
        <v>90.9090909090909</v>
      </c>
      <c r="F27" s="157">
        <f t="shared" si="1"/>
        <v>1.7948503827418234</v>
      </c>
      <c r="G27" s="156">
        <f t="shared" si="2"/>
        <v>20.64077940153097</v>
      </c>
      <c r="J27" s="137">
        <f t="shared" si="3"/>
        <v>41.03366489090887</v>
      </c>
      <c r="K27" s="137">
        <f t="shared" si="4"/>
        <v>50.04408349787033</v>
      </c>
      <c r="L27" s="137">
        <f t="shared" si="5"/>
        <v>8.922251611220805</v>
      </c>
      <c r="M27" s="146"/>
      <c r="N27" s="55">
        <f t="shared" si="10"/>
        <v>0.1</v>
      </c>
      <c r="O27" s="55">
        <f>2/(1+N27)</f>
        <v>1.8181818181818181</v>
      </c>
      <c r="P27" s="55">
        <f t="shared" si="12"/>
        <v>0.18181818181818188</v>
      </c>
      <c r="Q27" s="55">
        <v>1</v>
      </c>
      <c r="R27" s="55">
        <f t="shared" si="13"/>
        <v>0.6060606060606061</v>
      </c>
      <c r="S27" s="55">
        <f t="shared" si="13"/>
        <v>0.06060606060606063</v>
      </c>
      <c r="T27" s="55">
        <f t="shared" si="13"/>
        <v>0.3333333333333333</v>
      </c>
      <c r="U27" s="55">
        <f t="shared" si="14"/>
        <v>73.27272727272727</v>
      </c>
      <c r="V27" s="55">
        <f t="shared" si="15"/>
        <v>13.063636363636366</v>
      </c>
      <c r="W27" s="55">
        <f t="shared" si="16"/>
        <v>60.08</v>
      </c>
      <c r="X27" s="55">
        <f t="shared" si="17"/>
        <v>146.41636363636363</v>
      </c>
      <c r="Y27" s="55">
        <f t="shared" si="6"/>
        <v>100</v>
      </c>
      <c r="Z27" s="55">
        <f t="shared" si="7"/>
        <v>0.909090909090909</v>
      </c>
      <c r="AB27" s="55">
        <v>0.81</v>
      </c>
      <c r="AC27" s="55">
        <f t="shared" si="18"/>
        <v>19.35</v>
      </c>
      <c r="AD27" s="55">
        <f t="shared" si="21"/>
        <v>2.5393916257873497</v>
      </c>
      <c r="AE27" s="55">
        <f t="shared" si="19"/>
        <v>14.971167053747541</v>
      </c>
      <c r="AG27" s="55">
        <f t="shared" si="22"/>
        <v>11.519548005086149</v>
      </c>
      <c r="AH27" s="55">
        <f t="shared" si="23"/>
        <v>3.772389940435443</v>
      </c>
      <c r="AI27" s="55">
        <f t="shared" si="20"/>
        <v>10.788616516653494</v>
      </c>
    </row>
    <row r="28" spans="1:35" s="55" customFormat="1" ht="15.75">
      <c r="A28" s="159">
        <v>10.5</v>
      </c>
      <c r="B28" s="157">
        <f t="shared" si="0"/>
        <v>3.36</v>
      </c>
      <c r="C28" s="157">
        <f t="shared" si="8"/>
        <v>77.06422018348624</v>
      </c>
      <c r="D28" s="151">
        <f t="shared" si="9"/>
        <v>91.30434782608695</v>
      </c>
      <c r="F28" s="157">
        <f t="shared" si="1"/>
        <v>1.8845929018789143</v>
      </c>
      <c r="G28" s="156">
        <f t="shared" si="2"/>
        <v>21.672818371607512</v>
      </c>
      <c r="J28" s="137">
        <f t="shared" si="3"/>
        <v>41.10368131737383</v>
      </c>
      <c r="K28" s="137">
        <f t="shared" si="4"/>
        <v>50.3474287889965</v>
      </c>
      <c r="L28" s="137">
        <f t="shared" si="5"/>
        <v>8.548889893629687</v>
      </c>
      <c r="M28" s="146"/>
      <c r="N28" s="55">
        <f t="shared" si="10"/>
        <v>0.09523809523809523</v>
      </c>
      <c r="O28" s="55">
        <f t="shared" si="11"/>
        <v>1.826086956521739</v>
      </c>
      <c r="P28" s="55">
        <f t="shared" si="12"/>
        <v>0.17391304347826098</v>
      </c>
      <c r="Q28" s="55">
        <v>1</v>
      </c>
      <c r="R28" s="55">
        <f t="shared" si="13"/>
        <v>0.608695652173913</v>
      </c>
      <c r="S28" s="55">
        <f t="shared" si="13"/>
        <v>0.05797101449275366</v>
      </c>
      <c r="T28" s="55">
        <f t="shared" si="13"/>
        <v>0.3333333333333333</v>
      </c>
      <c r="U28" s="55">
        <f t="shared" si="14"/>
        <v>73.59130434782608</v>
      </c>
      <c r="V28" s="55">
        <f t="shared" si="15"/>
        <v>12.49565217391305</v>
      </c>
      <c r="W28" s="55">
        <f t="shared" si="16"/>
        <v>60.08</v>
      </c>
      <c r="X28" s="55">
        <f t="shared" si="17"/>
        <v>146.1669565217391</v>
      </c>
      <c r="Y28" s="55">
        <f t="shared" si="6"/>
        <v>100.00000000000001</v>
      </c>
      <c r="Z28" s="55">
        <f t="shared" si="7"/>
        <v>0.9130434782608695</v>
      </c>
      <c r="AB28" s="55">
        <v>0.8</v>
      </c>
      <c r="AC28" s="55">
        <f t="shared" si="18"/>
        <v>19.35</v>
      </c>
      <c r="AD28" s="55">
        <f t="shared" si="21"/>
        <v>2.5393916257873497</v>
      </c>
      <c r="AE28" s="55">
        <f t="shared" si="19"/>
        <v>14.794954261261452</v>
      </c>
      <c r="AG28" s="55">
        <f t="shared" si="22"/>
        <v>10.788616516653494</v>
      </c>
      <c r="AH28" s="55">
        <f t="shared" si="23"/>
        <v>3.961294958489898</v>
      </c>
      <c r="AI28" s="55">
        <f t="shared" si="20"/>
        <v>9.993136885749418</v>
      </c>
    </row>
    <row r="29" spans="1:35" s="55" customFormat="1" ht="15.75">
      <c r="A29" s="159">
        <v>11</v>
      </c>
      <c r="B29" s="157">
        <f t="shared" si="0"/>
        <v>3.52</v>
      </c>
      <c r="C29" s="157">
        <f t="shared" si="8"/>
        <v>77.87610619469027</v>
      </c>
      <c r="D29" s="151">
        <f t="shared" si="9"/>
        <v>91.66666666666667</v>
      </c>
      <c r="F29" s="157">
        <f t="shared" si="1"/>
        <v>1.9743354210160056</v>
      </c>
      <c r="G29" s="156">
        <f t="shared" si="2"/>
        <v>22.704857341684065</v>
      </c>
      <c r="J29" s="137">
        <f t="shared" si="3"/>
        <v>41.168073272957756</v>
      </c>
      <c r="K29" s="137">
        <f t="shared" si="4"/>
        <v>50.62640613044323</v>
      </c>
      <c r="L29" s="137">
        <f t="shared" si="5"/>
        <v>8.205520596599012</v>
      </c>
      <c r="M29" s="146"/>
      <c r="N29" s="55">
        <f t="shared" si="10"/>
        <v>0.09090909090909091</v>
      </c>
      <c r="O29" s="55">
        <f t="shared" si="11"/>
        <v>1.8333333333333335</v>
      </c>
      <c r="P29" s="55">
        <f t="shared" si="12"/>
        <v>0.16666666666666652</v>
      </c>
      <c r="Q29" s="55">
        <v>1</v>
      </c>
      <c r="R29" s="55">
        <f t="shared" si="13"/>
        <v>0.6111111111111112</v>
      </c>
      <c r="S29" s="55">
        <f t="shared" si="13"/>
        <v>0.055555555555555504</v>
      </c>
      <c r="T29" s="55">
        <f t="shared" si="13"/>
        <v>0.3333333333333333</v>
      </c>
      <c r="U29" s="55">
        <f t="shared" si="14"/>
        <v>73.88333333333334</v>
      </c>
      <c r="V29" s="55">
        <f t="shared" si="15"/>
        <v>11.974999999999989</v>
      </c>
      <c r="W29" s="55">
        <f t="shared" si="16"/>
        <v>60.08</v>
      </c>
      <c r="X29" s="55">
        <f t="shared" si="17"/>
        <v>145.93833333333333</v>
      </c>
      <c r="Y29" s="55">
        <f t="shared" si="6"/>
        <v>100</v>
      </c>
      <c r="Z29" s="55">
        <f t="shared" si="7"/>
        <v>0.9166666666666667</v>
      </c>
      <c r="AB29" s="55">
        <v>0.79</v>
      </c>
      <c r="AC29" s="55">
        <f t="shared" si="18"/>
        <v>19.35</v>
      </c>
      <c r="AD29" s="55">
        <f t="shared" si="21"/>
        <v>2.5393916257873497</v>
      </c>
      <c r="AE29" s="55">
        <f t="shared" si="19"/>
        <v>14.622841312913556</v>
      </c>
      <c r="AG29" s="55">
        <f t="shared" si="22"/>
        <v>9.993136885749418</v>
      </c>
      <c r="AH29" s="55">
        <f t="shared" si="23"/>
        <v>4.190297034138326</v>
      </c>
      <c r="AI29" s="55">
        <f t="shared" si="20"/>
        <v>9.121809166780993</v>
      </c>
    </row>
    <row r="30" spans="1:35" s="55" customFormat="1" ht="15.75">
      <c r="A30" s="159">
        <v>11.5</v>
      </c>
      <c r="B30" s="157">
        <f t="shared" si="0"/>
        <v>3.68</v>
      </c>
      <c r="C30" s="157">
        <f t="shared" si="8"/>
        <v>78.63247863247864</v>
      </c>
      <c r="D30" s="151">
        <f t="shared" si="9"/>
        <v>92</v>
      </c>
      <c r="F30" s="157">
        <f t="shared" si="1"/>
        <v>2.064077940153097</v>
      </c>
      <c r="G30" s="156">
        <f t="shared" si="2"/>
        <v>23.736896311760614</v>
      </c>
      <c r="J30" s="137">
        <f t="shared" si="3"/>
        <v>41.22749231444883</v>
      </c>
      <c r="K30" s="137">
        <f t="shared" si="4"/>
        <v>50.88383838383838</v>
      </c>
      <c r="L30" s="137">
        <f t="shared" si="5"/>
        <v>7.888669301712774</v>
      </c>
      <c r="M30" s="146"/>
      <c r="N30" s="55">
        <f t="shared" si="10"/>
        <v>0.08695652173913043</v>
      </c>
      <c r="O30" s="55">
        <f t="shared" si="11"/>
        <v>1.84</v>
      </c>
      <c r="P30" s="55">
        <f t="shared" si="12"/>
        <v>0.15999999999999992</v>
      </c>
      <c r="Q30" s="55">
        <v>1</v>
      </c>
      <c r="R30" s="55">
        <f t="shared" si="13"/>
        <v>0.6133333333333334</v>
      </c>
      <c r="S30" s="55">
        <f t="shared" si="13"/>
        <v>0.05333333333333331</v>
      </c>
      <c r="T30" s="55">
        <f t="shared" si="13"/>
        <v>0.3333333333333333</v>
      </c>
      <c r="U30" s="55">
        <f t="shared" si="14"/>
        <v>74.152</v>
      </c>
      <c r="V30" s="55">
        <f t="shared" si="15"/>
        <v>11.495999999999993</v>
      </c>
      <c r="W30" s="55">
        <f t="shared" si="16"/>
        <v>60.08</v>
      </c>
      <c r="X30" s="55">
        <f t="shared" si="17"/>
        <v>145.728</v>
      </c>
      <c r="Y30" s="55">
        <f t="shared" si="6"/>
        <v>100</v>
      </c>
      <c r="Z30" s="55">
        <f t="shared" si="7"/>
        <v>0.92</v>
      </c>
      <c r="AB30" s="55">
        <v>0.78</v>
      </c>
      <c r="AC30" s="55">
        <f t="shared" si="18"/>
        <v>19.35</v>
      </c>
      <c r="AD30" s="55">
        <f t="shared" si="21"/>
        <v>2.5393916257873497</v>
      </c>
      <c r="AE30" s="55">
        <f t="shared" si="19"/>
        <v>14.454686770921978</v>
      </c>
      <c r="AG30" s="55">
        <f t="shared" si="22"/>
        <v>9.121809166780993</v>
      </c>
      <c r="AH30" s="55">
        <f t="shared" si="23"/>
        <v>4.47468670216506</v>
      </c>
      <c r="AI30" s="55">
        <f t="shared" si="20"/>
        <v>8.161002675440113</v>
      </c>
    </row>
    <row r="31" spans="1:35" ht="15.75">
      <c r="A31" s="158">
        <v>12</v>
      </c>
      <c r="B31" s="149">
        <f t="shared" si="0"/>
        <v>3.84</v>
      </c>
      <c r="C31" s="149">
        <f t="shared" si="8"/>
        <v>79.33884297520662</v>
      </c>
      <c r="D31" s="150">
        <f t="shared" si="9"/>
        <v>92.3076923076923</v>
      </c>
      <c r="F31" s="149">
        <f t="shared" si="1"/>
        <v>2.1538204592901877</v>
      </c>
      <c r="G31" s="155">
        <f t="shared" si="2"/>
        <v>24.76893528183716</v>
      </c>
      <c r="J31" s="136">
        <f t="shared" si="3"/>
        <v>41.28249310231826</v>
      </c>
      <c r="K31" s="136">
        <f t="shared" si="4"/>
        <v>51.12212860872968</v>
      </c>
      <c r="L31" s="136">
        <f t="shared" si="5"/>
        <v>7.595378288952077</v>
      </c>
      <c r="N31">
        <f t="shared" si="10"/>
        <v>0.08333333333333333</v>
      </c>
      <c r="O31">
        <f t="shared" si="11"/>
        <v>1.8461538461538463</v>
      </c>
      <c r="P31">
        <f t="shared" si="12"/>
        <v>0.15384615384615374</v>
      </c>
      <c r="Q31">
        <v>1</v>
      </c>
      <c r="R31">
        <f t="shared" si="13"/>
        <v>0.6153846153846154</v>
      </c>
      <c r="S31">
        <f t="shared" si="13"/>
        <v>0.051282051282051246</v>
      </c>
      <c r="T31">
        <f t="shared" si="13"/>
        <v>0.3333333333333333</v>
      </c>
      <c r="U31">
        <f t="shared" si="14"/>
        <v>74.4</v>
      </c>
      <c r="V31">
        <f t="shared" si="15"/>
        <v>11.053846153846145</v>
      </c>
      <c r="W31">
        <f t="shared" si="16"/>
        <v>60.08</v>
      </c>
      <c r="X31">
        <f t="shared" si="17"/>
        <v>145.53384615384613</v>
      </c>
      <c r="Y31">
        <f t="shared" si="6"/>
        <v>100.00000000000003</v>
      </c>
      <c r="Z31">
        <f t="shared" si="7"/>
        <v>0.9230769230769231</v>
      </c>
      <c r="AB31">
        <v>0.77</v>
      </c>
      <c r="AC31">
        <f t="shared" si="18"/>
        <v>19.35</v>
      </c>
      <c r="AD31">
        <f t="shared" si="21"/>
        <v>2.5393916257873497</v>
      </c>
      <c r="AE31">
        <f t="shared" si="19"/>
        <v>14.290355629365337</v>
      </c>
      <c r="AG31">
        <f t="shared" si="22"/>
        <v>8.161002675440113</v>
      </c>
      <c r="AH31">
        <f t="shared" si="23"/>
        <v>4.838718799381562</v>
      </c>
      <c r="AI31">
        <f t="shared" si="20"/>
        <v>7.09497357319705</v>
      </c>
    </row>
    <row r="32" spans="1:35" ht="15.75">
      <c r="A32" s="158">
        <v>12.5</v>
      </c>
      <c r="B32" s="149">
        <f t="shared" si="0"/>
        <v>4</v>
      </c>
      <c r="C32" s="149">
        <f t="shared" si="8"/>
        <v>80</v>
      </c>
      <c r="D32" s="150">
        <f t="shared" si="9"/>
        <v>92.5925925925926</v>
      </c>
      <c r="F32" s="149">
        <f t="shared" si="1"/>
        <v>2.243562978427279</v>
      </c>
      <c r="G32" s="155">
        <f t="shared" si="2"/>
        <v>25.800974251913708</v>
      </c>
      <c r="J32" s="136">
        <f t="shared" si="3"/>
        <v>41.33355076747457</v>
      </c>
      <c r="K32" s="136">
        <f t="shared" si="4"/>
        <v>51.34333530383023</v>
      </c>
      <c r="L32" s="136">
        <f t="shared" si="5"/>
        <v>7.3231139286952</v>
      </c>
      <c r="N32">
        <f t="shared" si="10"/>
        <v>0.08</v>
      </c>
      <c r="O32">
        <f t="shared" si="11"/>
        <v>1.8518518518518516</v>
      </c>
      <c r="P32">
        <f t="shared" si="12"/>
        <v>0.14814814814814836</v>
      </c>
      <c r="Q32">
        <v>1</v>
      </c>
      <c r="R32">
        <f t="shared" si="13"/>
        <v>0.6172839506172839</v>
      </c>
      <c r="S32">
        <f t="shared" si="13"/>
        <v>0.04938271604938279</v>
      </c>
      <c r="T32">
        <f t="shared" si="13"/>
        <v>0.3333333333333333</v>
      </c>
      <c r="U32">
        <f t="shared" si="14"/>
        <v>74.62962962962962</v>
      </c>
      <c r="V32">
        <f t="shared" si="15"/>
        <v>10.644444444444458</v>
      </c>
      <c r="W32">
        <f t="shared" si="16"/>
        <v>60.08</v>
      </c>
      <c r="X32">
        <f t="shared" si="17"/>
        <v>145.35407407407408</v>
      </c>
      <c r="Y32">
        <f t="shared" si="6"/>
        <v>100</v>
      </c>
      <c r="Z32">
        <f t="shared" si="7"/>
        <v>0.9259259259259258</v>
      </c>
      <c r="AB32">
        <v>0.76</v>
      </c>
      <c r="AC32">
        <f t="shared" si="18"/>
        <v>19.35</v>
      </c>
      <c r="AD32">
        <f t="shared" si="21"/>
        <v>2.5393916257873497</v>
      </c>
      <c r="AE32">
        <f t="shared" si="19"/>
        <v>14.129718952682735</v>
      </c>
      <c r="AG32">
        <f t="shared" si="22"/>
        <v>7.09497357319705</v>
      </c>
      <c r="AH32">
        <f t="shared" si="23"/>
        <v>5.3231788372660365</v>
      </c>
      <c r="AI32">
        <f t="shared" si="20"/>
        <v>5.907677971393483</v>
      </c>
    </row>
    <row r="33" spans="1:35" ht="15.75">
      <c r="A33" s="158">
        <v>13</v>
      </c>
      <c r="B33" s="149">
        <f t="shared" si="0"/>
        <v>4.16</v>
      </c>
      <c r="C33" s="149">
        <f t="shared" si="8"/>
        <v>80.62015503875969</v>
      </c>
      <c r="D33" s="150">
        <f t="shared" si="9"/>
        <v>92.85714285714286</v>
      </c>
      <c r="F33" s="149">
        <f t="shared" si="1"/>
        <v>2.3333054975643703</v>
      </c>
      <c r="G33" s="155">
        <f t="shared" si="2"/>
        <v>26.83301322199026</v>
      </c>
      <c r="J33" s="136">
        <f t="shared" si="3"/>
        <v>41.38107467209808</v>
      </c>
      <c r="K33" s="136">
        <f t="shared" si="4"/>
        <v>51.54923202566146</v>
      </c>
      <c r="L33" s="136">
        <f t="shared" si="5"/>
        <v>7.069693302240455</v>
      </c>
      <c r="N33">
        <f t="shared" si="10"/>
        <v>0.07692307692307693</v>
      </c>
      <c r="O33">
        <f t="shared" si="11"/>
        <v>1.8571428571428572</v>
      </c>
      <c r="P33">
        <f t="shared" si="12"/>
        <v>0.1428571428571428</v>
      </c>
      <c r="Q33">
        <v>1</v>
      </c>
      <c r="R33">
        <f t="shared" si="13"/>
        <v>0.6190476190476191</v>
      </c>
      <c r="S33">
        <f t="shared" si="13"/>
        <v>0.047619047619047596</v>
      </c>
      <c r="T33">
        <f t="shared" si="13"/>
        <v>0.3333333333333333</v>
      </c>
      <c r="U33">
        <f t="shared" si="14"/>
        <v>74.84285714285714</v>
      </c>
      <c r="V33">
        <f t="shared" si="15"/>
        <v>10.264285714285709</v>
      </c>
      <c r="W33">
        <f t="shared" si="16"/>
        <v>60.08</v>
      </c>
      <c r="X33">
        <f t="shared" si="17"/>
        <v>145.18714285714285</v>
      </c>
      <c r="Y33">
        <f t="shared" si="6"/>
        <v>99.99999999999999</v>
      </c>
      <c r="Z33">
        <f t="shared" si="7"/>
        <v>0.9285714285714286</v>
      </c>
      <c r="AB33">
        <v>0.75</v>
      </c>
      <c r="AC33">
        <f t="shared" si="18"/>
        <v>19.35</v>
      </c>
      <c r="AD33">
        <f t="shared" si="21"/>
        <v>2.5393916257873497</v>
      </c>
      <c r="AE33">
        <f t="shared" si="19"/>
        <v>13.972653538284296</v>
      </c>
      <c r="AG33">
        <f t="shared" si="22"/>
        <v>5.907677971393483</v>
      </c>
      <c r="AH33">
        <f t="shared" si="23"/>
        <v>6.001915643446204</v>
      </c>
      <c r="AI33">
        <f t="shared" si="20"/>
        <v>4.589315851214919</v>
      </c>
    </row>
    <row r="34" spans="1:35" ht="15.75">
      <c r="A34" s="158">
        <v>13.5</v>
      </c>
      <c r="B34" s="149">
        <f t="shared" si="0"/>
        <v>4.32</v>
      </c>
      <c r="C34" s="149">
        <f t="shared" si="8"/>
        <v>81.203007518797</v>
      </c>
      <c r="D34" s="150">
        <f t="shared" si="9"/>
        <v>93.10344827586206</v>
      </c>
      <c r="F34" s="149">
        <f t="shared" si="1"/>
        <v>2.4230480167014616</v>
      </c>
      <c r="G34" s="155">
        <f t="shared" si="2"/>
        <v>27.86505219206681</v>
      </c>
      <c r="J34" s="136">
        <f t="shared" si="3"/>
        <v>41.42541940883327</v>
      </c>
      <c r="K34" s="136">
        <f t="shared" si="4"/>
        <v>51.74135504241641</v>
      </c>
      <c r="L34" s="136">
        <f t="shared" si="5"/>
        <v>6.833225548750325</v>
      </c>
      <c r="N34">
        <f t="shared" si="10"/>
        <v>0.07407407407407407</v>
      </c>
      <c r="O34">
        <f t="shared" si="11"/>
        <v>1.8620689655172415</v>
      </c>
      <c r="P34">
        <f t="shared" si="12"/>
        <v>0.13793103448275845</v>
      </c>
      <c r="Q34">
        <v>1</v>
      </c>
      <c r="R34">
        <f t="shared" si="13"/>
        <v>0.6206896551724138</v>
      </c>
      <c r="S34">
        <f t="shared" si="13"/>
        <v>0.04597701149425282</v>
      </c>
      <c r="T34">
        <f t="shared" si="13"/>
        <v>0.3333333333333333</v>
      </c>
      <c r="U34">
        <f t="shared" si="14"/>
        <v>75.04137931034482</v>
      </c>
      <c r="V34">
        <f t="shared" si="15"/>
        <v>9.910344827586194</v>
      </c>
      <c r="W34">
        <f t="shared" si="16"/>
        <v>60.08</v>
      </c>
      <c r="X34">
        <f t="shared" si="17"/>
        <v>145.031724137931</v>
      </c>
      <c r="Y34">
        <f t="shared" si="6"/>
        <v>100</v>
      </c>
      <c r="Z34">
        <f t="shared" si="7"/>
        <v>0.9310344827586208</v>
      </c>
      <c r="AB34">
        <v>0.74</v>
      </c>
      <c r="AC34">
        <f t="shared" si="18"/>
        <v>19.35</v>
      </c>
      <c r="AD34">
        <f t="shared" si="21"/>
        <v>2.5393916257873497</v>
      </c>
      <c r="AE34">
        <f t="shared" si="19"/>
        <v>13.819041601416739</v>
      </c>
      <c r="AG34">
        <f t="shared" si="22"/>
        <v>4.589315851214919</v>
      </c>
      <c r="AH34">
        <f t="shared" si="23"/>
        <v>7.022244536784341</v>
      </c>
      <c r="AI34">
        <f t="shared" si="20"/>
        <v>3.1561846834025</v>
      </c>
    </row>
    <row r="35" spans="1:26" ht="15.75">
      <c r="A35" s="158">
        <v>14</v>
      </c>
      <c r="B35" s="149">
        <f t="shared" si="0"/>
        <v>4.48</v>
      </c>
      <c r="C35" s="149">
        <f t="shared" si="8"/>
        <v>81.75182481751825</v>
      </c>
      <c r="D35" s="150">
        <f t="shared" si="9"/>
        <v>93.33333333333333</v>
      </c>
      <c r="F35" s="149">
        <f t="shared" si="1"/>
        <v>2.512790535838553</v>
      </c>
      <c r="G35" s="155">
        <f t="shared" si="2"/>
        <v>28.897091162143358</v>
      </c>
      <c r="J35" s="136">
        <f t="shared" si="3"/>
        <v>41.466893664013256</v>
      </c>
      <c r="K35" s="136">
        <f t="shared" si="4"/>
        <v>51.921041733768924</v>
      </c>
      <c r="L35" s="136">
        <f t="shared" si="5"/>
        <v>6.612064602217823</v>
      </c>
      <c r="N35">
        <f t="shared" si="10"/>
        <v>0.07142857142857142</v>
      </c>
      <c r="O35">
        <f t="shared" si="11"/>
        <v>1.8666666666666667</v>
      </c>
      <c r="P35">
        <f t="shared" si="12"/>
        <v>0.1333333333333333</v>
      </c>
      <c r="Q35">
        <v>1</v>
      </c>
      <c r="R35">
        <f t="shared" si="13"/>
        <v>0.6222222222222222</v>
      </c>
      <c r="S35">
        <f t="shared" si="13"/>
        <v>0.04444444444444443</v>
      </c>
      <c r="T35">
        <f t="shared" si="13"/>
        <v>0.3333333333333333</v>
      </c>
      <c r="U35">
        <f t="shared" si="14"/>
        <v>75.22666666666666</v>
      </c>
      <c r="V35">
        <f t="shared" si="15"/>
        <v>9.579999999999997</v>
      </c>
      <c r="W35">
        <f t="shared" si="16"/>
        <v>60.08</v>
      </c>
      <c r="X35">
        <f t="shared" si="17"/>
        <v>144.88666666666666</v>
      </c>
      <c r="Y35">
        <f t="shared" si="6"/>
        <v>100</v>
      </c>
      <c r="Z35">
        <f t="shared" si="7"/>
        <v>0.9333333333333333</v>
      </c>
    </row>
    <row r="36" spans="1:26" ht="15.75">
      <c r="A36" s="158">
        <v>14.5</v>
      </c>
      <c r="B36" s="149">
        <f t="shared" si="0"/>
        <v>4.64</v>
      </c>
      <c r="C36" s="149">
        <f t="shared" si="8"/>
        <v>82.26950354609929</v>
      </c>
      <c r="D36" s="150">
        <f t="shared" si="9"/>
        <v>93.54838709677419</v>
      </c>
      <c r="F36" s="149">
        <f t="shared" si="1"/>
        <v>2.6025330549756434</v>
      </c>
      <c r="G36" s="155">
        <f t="shared" si="2"/>
        <v>29.9291301322199</v>
      </c>
      <c r="J36" s="136">
        <f t="shared" si="3"/>
        <v>41.50576741366708</v>
      </c>
      <c r="K36" s="136">
        <f t="shared" si="4"/>
        <v>52.089461767484984</v>
      </c>
      <c r="L36" s="136">
        <f t="shared" si="5"/>
        <v>6.404770818847937</v>
      </c>
      <c r="N36">
        <f t="shared" si="10"/>
        <v>0.06896551724137931</v>
      </c>
      <c r="O36">
        <f t="shared" si="11"/>
        <v>1.870967741935484</v>
      </c>
      <c r="P36">
        <f t="shared" si="12"/>
        <v>0.12903225806451601</v>
      </c>
      <c r="Q36">
        <v>1</v>
      </c>
      <c r="R36">
        <f t="shared" si="13"/>
        <v>0.6236559139784946</v>
      </c>
      <c r="S36">
        <f t="shared" si="13"/>
        <v>0.043010752688172005</v>
      </c>
      <c r="T36">
        <f t="shared" si="13"/>
        <v>0.3333333333333333</v>
      </c>
      <c r="U36">
        <f t="shared" si="14"/>
        <v>75.4</v>
      </c>
      <c r="V36">
        <f t="shared" si="15"/>
        <v>9.270967741935475</v>
      </c>
      <c r="W36">
        <f t="shared" si="16"/>
        <v>60.08</v>
      </c>
      <c r="X36">
        <f t="shared" si="17"/>
        <v>144.75096774193548</v>
      </c>
      <c r="Y36">
        <f t="shared" si="6"/>
        <v>100</v>
      </c>
      <c r="Z36">
        <f t="shared" si="7"/>
        <v>0.9354838709677421</v>
      </c>
    </row>
    <row r="37" spans="1:26" ht="15.75">
      <c r="A37" s="158">
        <v>15</v>
      </c>
      <c r="B37" s="149">
        <f t="shared" si="0"/>
        <v>4.8</v>
      </c>
      <c r="C37" s="149">
        <f t="shared" si="8"/>
        <v>82.75862068965517</v>
      </c>
      <c r="D37" s="150">
        <f t="shared" si="9"/>
        <v>93.75</v>
      </c>
      <c r="F37" s="149">
        <f t="shared" si="1"/>
        <v>2.6922755741127347</v>
      </c>
      <c r="G37" s="155">
        <f t="shared" si="2"/>
        <v>30.96116910229645</v>
      </c>
      <c r="J37" s="136">
        <f t="shared" si="3"/>
        <v>41.54227780706834</v>
      </c>
      <c r="K37" s="136">
        <f t="shared" si="4"/>
        <v>52.24764258982359</v>
      </c>
      <c r="L37" s="136">
        <f t="shared" si="5"/>
        <v>6.210079603108064</v>
      </c>
      <c r="N37">
        <f t="shared" si="10"/>
        <v>0.06666666666666667</v>
      </c>
      <c r="O37">
        <f t="shared" si="11"/>
        <v>1.875</v>
      </c>
      <c r="P37">
        <f t="shared" si="12"/>
        <v>0.125</v>
      </c>
      <c r="Q37">
        <v>1</v>
      </c>
      <c r="R37">
        <f t="shared" si="13"/>
        <v>0.625</v>
      </c>
      <c r="S37">
        <f t="shared" si="13"/>
        <v>0.041666666666666664</v>
      </c>
      <c r="T37">
        <f t="shared" si="13"/>
        <v>0.3333333333333333</v>
      </c>
      <c r="U37">
        <f t="shared" si="14"/>
        <v>75.5625</v>
      </c>
      <c r="V37">
        <f t="shared" si="15"/>
        <v>8.98125</v>
      </c>
      <c r="W37">
        <f t="shared" si="16"/>
        <v>60.08</v>
      </c>
      <c r="X37">
        <f t="shared" si="17"/>
        <v>144.62375</v>
      </c>
      <c r="Y37">
        <f t="shared" si="6"/>
        <v>100</v>
      </c>
      <c r="Z37">
        <f t="shared" si="7"/>
        <v>0.9375</v>
      </c>
    </row>
    <row r="38" spans="1:26" ht="15.75">
      <c r="A38" s="158">
        <v>15.5</v>
      </c>
      <c r="B38" s="149">
        <f t="shared" si="0"/>
        <v>4.96</v>
      </c>
      <c r="C38" s="149">
        <f t="shared" si="8"/>
        <v>83.22147651006712</v>
      </c>
      <c r="D38" s="150">
        <f t="shared" si="9"/>
        <v>93.93939393939394</v>
      </c>
      <c r="F38" s="149">
        <f t="shared" si="1"/>
        <v>2.782018093249826</v>
      </c>
      <c r="G38" s="155">
        <f t="shared" si="2"/>
        <v>31.993208072372997</v>
      </c>
      <c r="J38" s="136">
        <f t="shared" si="3"/>
        <v>41.57663400885787</v>
      </c>
      <c r="K38" s="136">
        <f t="shared" si="4"/>
        <v>52.39649040397263</v>
      </c>
      <c r="L38" s="136">
        <f t="shared" si="5"/>
        <v>6.026875587169501</v>
      </c>
      <c r="N38">
        <f t="shared" si="10"/>
        <v>0.06451612903225806</v>
      </c>
      <c r="O38">
        <f t="shared" si="11"/>
        <v>1.878787878787879</v>
      </c>
      <c r="P38">
        <f t="shared" si="12"/>
        <v>0.1212121212121211</v>
      </c>
      <c r="Q38">
        <v>1</v>
      </c>
      <c r="R38">
        <f t="shared" si="13"/>
        <v>0.6262626262626263</v>
      </c>
      <c r="S38">
        <f t="shared" si="13"/>
        <v>0.040404040404040366</v>
      </c>
      <c r="T38">
        <f t="shared" si="13"/>
        <v>0.3333333333333333</v>
      </c>
      <c r="U38">
        <f t="shared" si="14"/>
        <v>75.71515151515152</v>
      </c>
      <c r="V38">
        <f t="shared" si="15"/>
        <v>8.7090909090909</v>
      </c>
      <c r="W38">
        <f t="shared" si="16"/>
        <v>60.08</v>
      </c>
      <c r="X38">
        <f t="shared" si="17"/>
        <v>144.50424242424242</v>
      </c>
      <c r="Y38">
        <f t="shared" si="6"/>
        <v>100</v>
      </c>
      <c r="Z38">
        <f t="shared" si="7"/>
        <v>0.9393939393939394</v>
      </c>
    </row>
    <row r="39" spans="1:26" ht="15.75">
      <c r="A39" s="158">
        <v>16</v>
      </c>
      <c r="B39" s="149">
        <f t="shared" si="0"/>
        <v>5.12</v>
      </c>
      <c r="C39" s="149">
        <f t="shared" si="8"/>
        <v>83.66013071895425</v>
      </c>
      <c r="D39" s="150">
        <f t="shared" si="9"/>
        <v>94.11764705882354</v>
      </c>
      <c r="F39" s="149">
        <f t="shared" si="1"/>
        <v>2.8717606123869173</v>
      </c>
      <c r="G39" s="155">
        <f t="shared" si="2"/>
        <v>33.02524704244955</v>
      </c>
      <c r="J39" s="136">
        <f t="shared" si="3"/>
        <v>41.609021208639895</v>
      </c>
      <c r="K39" s="136">
        <f t="shared" si="4"/>
        <v>52.53680754157399</v>
      </c>
      <c r="L39" s="136">
        <f t="shared" si="5"/>
        <v>5.854171249786123</v>
      </c>
      <c r="N39">
        <f t="shared" si="10"/>
        <v>0.0625</v>
      </c>
      <c r="O39">
        <f t="shared" si="11"/>
        <v>1.8823529411764706</v>
      </c>
      <c r="P39">
        <f t="shared" si="12"/>
        <v>0.11764705882352944</v>
      </c>
      <c r="Q39">
        <v>1</v>
      </c>
      <c r="R39">
        <f t="shared" si="13"/>
        <v>0.6274509803921569</v>
      </c>
      <c r="S39">
        <f t="shared" si="13"/>
        <v>0.03921568627450981</v>
      </c>
      <c r="T39">
        <f t="shared" si="13"/>
        <v>0.3333333333333333</v>
      </c>
      <c r="U39">
        <f t="shared" si="14"/>
        <v>75.85882352941177</v>
      </c>
      <c r="V39">
        <f t="shared" si="15"/>
        <v>8.45294117647059</v>
      </c>
      <c r="W39">
        <f t="shared" si="16"/>
        <v>60.08</v>
      </c>
      <c r="X39">
        <f t="shared" si="17"/>
        <v>144.39176470588234</v>
      </c>
      <c r="Y39">
        <f t="shared" si="6"/>
        <v>100.00000000000001</v>
      </c>
      <c r="Z39">
        <f t="shared" si="7"/>
        <v>0.9411764705882353</v>
      </c>
    </row>
    <row r="40" spans="1:26" ht="15.75">
      <c r="A40" s="158">
        <v>16.5</v>
      </c>
      <c r="B40" s="149">
        <f t="shared" si="0"/>
        <v>5.28</v>
      </c>
      <c r="C40" s="149">
        <f t="shared" si="8"/>
        <v>84.07643312101911</v>
      </c>
      <c r="D40" s="150">
        <f t="shared" si="9"/>
        <v>94.28571428571429</v>
      </c>
      <c r="F40" s="149">
        <f t="shared" si="1"/>
        <v>2.9615031315240086</v>
      </c>
      <c r="G40" s="155">
        <f t="shared" si="2"/>
        <v>34.0572860125261</v>
      </c>
      <c r="J40" s="136">
        <f t="shared" si="3"/>
        <v>41.639603960396045</v>
      </c>
      <c r="K40" s="136">
        <f t="shared" si="4"/>
        <v>52.66930693069307</v>
      </c>
      <c r="L40" s="136">
        <f t="shared" si="5"/>
        <v>5.691089108910882</v>
      </c>
      <c r="N40">
        <f t="shared" si="10"/>
        <v>0.06060606060606061</v>
      </c>
      <c r="O40">
        <f t="shared" si="11"/>
        <v>1.885714285714286</v>
      </c>
      <c r="P40">
        <f t="shared" si="12"/>
        <v>0.1142857142857141</v>
      </c>
      <c r="Q40">
        <v>1</v>
      </c>
      <c r="R40">
        <f t="shared" si="13"/>
        <v>0.6285714285714287</v>
      </c>
      <c r="S40">
        <f t="shared" si="13"/>
        <v>0.038095238095238036</v>
      </c>
      <c r="T40">
        <f t="shared" si="13"/>
        <v>0.3333333333333333</v>
      </c>
      <c r="U40">
        <f t="shared" si="14"/>
        <v>75.99428571428571</v>
      </c>
      <c r="V40">
        <f t="shared" si="15"/>
        <v>8.211428571428558</v>
      </c>
      <c r="W40">
        <f t="shared" si="16"/>
        <v>60.08</v>
      </c>
      <c r="X40">
        <f t="shared" si="17"/>
        <v>144.28571428571428</v>
      </c>
      <c r="Y40">
        <f t="shared" si="6"/>
        <v>100</v>
      </c>
      <c r="Z40">
        <f t="shared" si="7"/>
        <v>0.942857142857143</v>
      </c>
    </row>
    <row r="41" spans="1:26" ht="15.75">
      <c r="A41" s="158">
        <v>17</v>
      </c>
      <c r="B41" s="149">
        <f t="shared" si="0"/>
        <v>5.44</v>
      </c>
      <c r="C41" s="149">
        <f t="shared" si="8"/>
        <v>84.472049689441</v>
      </c>
      <c r="D41" s="150">
        <f t="shared" si="9"/>
        <v>94.44444444444444</v>
      </c>
      <c r="F41" s="149">
        <f t="shared" si="1"/>
        <v>3.0512456506611</v>
      </c>
      <c r="G41" s="155">
        <f t="shared" si="2"/>
        <v>35.08932498260265</v>
      </c>
      <c r="J41" s="136">
        <f t="shared" si="3"/>
        <v>41.66852897886212</v>
      </c>
      <c r="K41" s="136">
        <f t="shared" si="4"/>
        <v>52.794624211086024</v>
      </c>
      <c r="L41" s="136">
        <f t="shared" si="5"/>
        <v>5.536846810051864</v>
      </c>
      <c r="N41">
        <f t="shared" si="10"/>
        <v>0.058823529411764705</v>
      </c>
      <c r="O41">
        <f t="shared" si="11"/>
        <v>1.8888888888888888</v>
      </c>
      <c r="P41">
        <f t="shared" si="12"/>
        <v>0.11111111111111116</v>
      </c>
      <c r="Q41">
        <v>1</v>
      </c>
      <c r="R41">
        <f t="shared" si="13"/>
        <v>0.6296296296296297</v>
      </c>
      <c r="S41">
        <f t="shared" si="13"/>
        <v>0.037037037037037056</v>
      </c>
      <c r="T41">
        <f t="shared" si="13"/>
        <v>0.3333333333333333</v>
      </c>
      <c r="U41">
        <f t="shared" si="14"/>
        <v>76.12222222222222</v>
      </c>
      <c r="V41">
        <f t="shared" si="15"/>
        <v>7.983333333333336</v>
      </c>
      <c r="W41">
        <f t="shared" si="16"/>
        <v>60.08</v>
      </c>
      <c r="X41">
        <f t="shared" si="17"/>
        <v>144.18555555555554</v>
      </c>
      <c r="Y41">
        <f t="shared" si="6"/>
        <v>100.00000000000001</v>
      </c>
      <c r="Z41">
        <f t="shared" si="7"/>
        <v>0.9444444444444444</v>
      </c>
    </row>
    <row r="42" spans="1:26" ht="15.75">
      <c r="A42" s="158">
        <v>17.5</v>
      </c>
      <c r="B42" s="149">
        <f t="shared" si="0"/>
        <v>5.6000000000000005</v>
      </c>
      <c r="C42" s="149">
        <f t="shared" si="8"/>
        <v>84.84848484848484</v>
      </c>
      <c r="D42" s="150">
        <f t="shared" si="9"/>
        <v>94.5945945945946</v>
      </c>
      <c r="F42" s="149">
        <f t="shared" si="1"/>
        <v>3.1409881697981907</v>
      </c>
      <c r="G42" s="155">
        <f t="shared" si="2"/>
        <v>36.1213639526792</v>
      </c>
      <c r="J42" s="136">
        <f t="shared" si="3"/>
        <v>41.695927493172476</v>
      </c>
      <c r="K42" s="136">
        <f t="shared" si="4"/>
        <v>52.91332793133459</v>
      </c>
      <c r="L42" s="136">
        <f t="shared" si="5"/>
        <v>5.390744575492932</v>
      </c>
      <c r="N42">
        <f t="shared" si="10"/>
        <v>0.05714285714285714</v>
      </c>
      <c r="O42">
        <f t="shared" si="11"/>
        <v>1.8918918918918919</v>
      </c>
      <c r="P42">
        <f t="shared" si="12"/>
        <v>0.10810810810810811</v>
      </c>
      <c r="Q42">
        <v>1</v>
      </c>
      <c r="R42">
        <f t="shared" si="13"/>
        <v>0.6306306306306306</v>
      </c>
      <c r="S42">
        <f t="shared" si="13"/>
        <v>0.036036036036036036</v>
      </c>
      <c r="T42">
        <f t="shared" si="13"/>
        <v>0.3333333333333333</v>
      </c>
      <c r="U42">
        <f t="shared" si="14"/>
        <v>76.24324324324324</v>
      </c>
      <c r="V42">
        <f t="shared" si="15"/>
        <v>7.767567567567568</v>
      </c>
      <c r="W42">
        <f t="shared" si="16"/>
        <v>60.08</v>
      </c>
      <c r="X42">
        <f t="shared" si="17"/>
        <v>144.0908108108108</v>
      </c>
      <c r="Y42">
        <f t="shared" si="6"/>
        <v>100</v>
      </c>
      <c r="Z42">
        <f t="shared" si="7"/>
        <v>0.9459459459459459</v>
      </c>
    </row>
    <row r="43" spans="1:26" ht="15.75">
      <c r="A43" s="158">
        <v>18</v>
      </c>
      <c r="B43" s="149">
        <f t="shared" si="0"/>
        <v>5.76</v>
      </c>
      <c r="C43" s="149">
        <f t="shared" si="8"/>
        <v>85.20710059171599</v>
      </c>
      <c r="D43" s="150">
        <f t="shared" si="9"/>
        <v>94.73684210526316</v>
      </c>
      <c r="F43" s="149">
        <f t="shared" si="1"/>
        <v>3.2307306889352816</v>
      </c>
      <c r="G43" s="155">
        <f t="shared" si="2"/>
        <v>37.15340292275574</v>
      </c>
      <c r="J43" s="136">
        <f t="shared" si="3"/>
        <v>41.721917237447094</v>
      </c>
      <c r="K43" s="136">
        <f t="shared" si="4"/>
        <v>53.02592817303967</v>
      </c>
      <c r="L43" s="136">
        <f t="shared" si="5"/>
        <v>5.25215458951324</v>
      </c>
      <c r="N43">
        <f t="shared" si="10"/>
        <v>0.05555555555555555</v>
      </c>
      <c r="O43">
        <f t="shared" si="11"/>
        <v>1.894736842105263</v>
      </c>
      <c r="P43">
        <f t="shared" si="12"/>
        <v>0.10526315789473695</v>
      </c>
      <c r="Q43">
        <v>1</v>
      </c>
      <c r="R43">
        <f t="shared" si="13"/>
        <v>0.631578947368421</v>
      </c>
      <c r="S43">
        <f t="shared" si="13"/>
        <v>0.03508771929824565</v>
      </c>
      <c r="T43">
        <f t="shared" si="13"/>
        <v>0.3333333333333333</v>
      </c>
      <c r="U43">
        <f t="shared" si="14"/>
        <v>76.3578947368421</v>
      </c>
      <c r="V43">
        <f t="shared" si="15"/>
        <v>7.563157894736849</v>
      </c>
      <c r="W43">
        <f t="shared" si="16"/>
        <v>60.08</v>
      </c>
      <c r="X43">
        <f t="shared" si="17"/>
        <v>144.00105263157894</v>
      </c>
      <c r="Y43">
        <f t="shared" si="6"/>
        <v>100</v>
      </c>
      <c r="Z43">
        <f t="shared" si="7"/>
        <v>0.9473684210526315</v>
      </c>
    </row>
    <row r="44" spans="1:26" ht="15.75">
      <c r="A44" s="158">
        <v>18.5</v>
      </c>
      <c r="B44" s="149">
        <f t="shared" si="0"/>
        <v>5.92</v>
      </c>
      <c r="C44" s="149">
        <f t="shared" si="8"/>
        <v>85.54913294797689</v>
      </c>
      <c r="D44" s="150">
        <f t="shared" si="9"/>
        <v>94.87179487179488</v>
      </c>
      <c r="F44" s="149">
        <f t="shared" si="1"/>
        <v>3.320473208072373</v>
      </c>
      <c r="G44" s="155">
        <f t="shared" si="2"/>
        <v>38.18544189283229</v>
      </c>
      <c r="J44" s="136">
        <f t="shared" si="3"/>
        <v>41.746604142020274</v>
      </c>
      <c r="K44" s="136">
        <f t="shared" si="4"/>
        <v>53.13288387804844</v>
      </c>
      <c r="L44" s="136">
        <f t="shared" si="5"/>
        <v>5.120511979931291</v>
      </c>
      <c r="N44">
        <f t="shared" si="10"/>
        <v>0.05405405405405406</v>
      </c>
      <c r="O44">
        <f t="shared" si="11"/>
        <v>1.8974358974358976</v>
      </c>
      <c r="P44">
        <f t="shared" si="12"/>
        <v>0.10256410256410242</v>
      </c>
      <c r="Q44">
        <v>1</v>
      </c>
      <c r="R44">
        <f t="shared" si="13"/>
        <v>0.6324786324786326</v>
      </c>
      <c r="S44">
        <f t="shared" si="13"/>
        <v>0.03418803418803414</v>
      </c>
      <c r="T44">
        <f t="shared" si="13"/>
        <v>0.3333333333333333</v>
      </c>
      <c r="U44">
        <f t="shared" si="14"/>
        <v>76.46666666666667</v>
      </c>
      <c r="V44">
        <f t="shared" si="15"/>
        <v>7.369230769230758</v>
      </c>
      <c r="W44">
        <f t="shared" si="16"/>
        <v>60.08</v>
      </c>
      <c r="X44">
        <f t="shared" si="17"/>
        <v>143.91589743589742</v>
      </c>
      <c r="Y44">
        <f t="shared" si="6"/>
        <v>100.00000000000001</v>
      </c>
      <c r="Z44">
        <f t="shared" si="7"/>
        <v>0.9487179487179488</v>
      </c>
    </row>
    <row r="45" spans="1:26" ht="15.75">
      <c r="A45" s="158">
        <v>19</v>
      </c>
      <c r="B45" s="149">
        <f t="shared" si="0"/>
        <v>6.08</v>
      </c>
      <c r="C45" s="149">
        <f t="shared" si="8"/>
        <v>85.87570621468926</v>
      </c>
      <c r="D45" s="150">
        <f t="shared" si="9"/>
        <v>95</v>
      </c>
      <c r="F45" s="149">
        <f t="shared" si="1"/>
        <v>3.410215727209464</v>
      </c>
      <c r="G45" s="155">
        <f t="shared" si="2"/>
        <v>39.217480862908836</v>
      </c>
      <c r="J45" s="136">
        <f t="shared" si="3"/>
        <v>41.77008377654953</v>
      </c>
      <c r="K45" s="136">
        <f t="shared" si="4"/>
        <v>53.23460910070567</v>
      </c>
      <c r="L45" s="136">
        <f t="shared" si="5"/>
        <v>4.995307122744805</v>
      </c>
      <c r="N45">
        <f t="shared" si="10"/>
        <v>0.05263157894736842</v>
      </c>
      <c r="O45">
        <f t="shared" si="11"/>
        <v>1.9000000000000001</v>
      </c>
      <c r="P45">
        <f t="shared" si="12"/>
        <v>0.09999999999999987</v>
      </c>
      <c r="Q45">
        <v>1</v>
      </c>
      <c r="R45">
        <f t="shared" si="13"/>
        <v>0.6333333333333334</v>
      </c>
      <c r="S45">
        <f t="shared" si="13"/>
        <v>0.03333333333333329</v>
      </c>
      <c r="T45">
        <f t="shared" si="13"/>
        <v>0.3333333333333333</v>
      </c>
      <c r="U45">
        <f t="shared" si="14"/>
        <v>76.57</v>
      </c>
      <c r="V45">
        <f t="shared" si="15"/>
        <v>7.18499999999999</v>
      </c>
      <c r="W45">
        <f t="shared" si="16"/>
        <v>60.08</v>
      </c>
      <c r="X45">
        <f t="shared" si="17"/>
        <v>143.83499999999998</v>
      </c>
      <c r="Y45">
        <f t="shared" si="6"/>
        <v>100</v>
      </c>
      <c r="Z45">
        <f t="shared" si="7"/>
        <v>0.9500000000000001</v>
      </c>
    </row>
    <row r="46" spans="1:26" ht="15.75">
      <c r="A46" s="158">
        <v>19.5</v>
      </c>
      <c r="B46" s="149">
        <f t="shared" si="0"/>
        <v>6.24</v>
      </c>
      <c r="C46" s="149">
        <f t="shared" si="8"/>
        <v>86.1878453038674</v>
      </c>
      <c r="D46" s="150">
        <f t="shared" si="9"/>
        <v>95.1219512195122</v>
      </c>
      <c r="F46" s="149">
        <f t="shared" si="1"/>
        <v>3.4999582463465555</v>
      </c>
      <c r="G46" s="155">
        <f t="shared" si="2"/>
        <v>40.249519832985385</v>
      </c>
      <c r="J46" s="136">
        <f t="shared" si="3"/>
        <v>41.792442586459636</v>
      </c>
      <c r="K46" s="136">
        <f t="shared" si="4"/>
        <v>53.33147836473207</v>
      </c>
      <c r="L46" s="136">
        <f t="shared" si="5"/>
        <v>4.8760790488082995</v>
      </c>
      <c r="N46">
        <f t="shared" si="10"/>
        <v>0.05128205128205128</v>
      </c>
      <c r="O46">
        <f t="shared" si="11"/>
        <v>1.9024390243902438</v>
      </c>
      <c r="P46">
        <f t="shared" si="12"/>
        <v>0.09756097560975618</v>
      </c>
      <c r="Q46">
        <v>1</v>
      </c>
      <c r="R46">
        <f t="shared" si="13"/>
        <v>0.6341463414634146</v>
      </c>
      <c r="S46">
        <f t="shared" si="13"/>
        <v>0.032520325203252064</v>
      </c>
      <c r="T46">
        <f t="shared" si="13"/>
        <v>0.3333333333333333</v>
      </c>
      <c r="U46">
        <f t="shared" si="14"/>
        <v>76.66829268292682</v>
      </c>
      <c r="V46">
        <f t="shared" si="15"/>
        <v>7.009756097560981</v>
      </c>
      <c r="W46">
        <f t="shared" si="16"/>
        <v>60.08</v>
      </c>
      <c r="X46">
        <f t="shared" si="17"/>
        <v>143.7580487804878</v>
      </c>
      <c r="Y46">
        <f t="shared" si="6"/>
        <v>100</v>
      </c>
      <c r="Z46">
        <f t="shared" si="7"/>
        <v>0.9512195121951219</v>
      </c>
    </row>
    <row r="47" spans="1:26" ht="15.75">
      <c r="A47" s="158">
        <v>20</v>
      </c>
      <c r="B47" s="149">
        <f t="shared" si="0"/>
        <v>6.4</v>
      </c>
      <c r="C47" s="149">
        <f t="shared" si="8"/>
        <v>86.48648648648648</v>
      </c>
      <c r="D47" s="150">
        <f t="shared" si="9"/>
        <v>95.23809523809524</v>
      </c>
      <c r="F47" s="149">
        <f t="shared" si="1"/>
        <v>3.589700765483647</v>
      </c>
      <c r="G47" s="155">
        <f t="shared" si="2"/>
        <v>41.28155880306194</v>
      </c>
      <c r="J47" s="136">
        <f t="shared" si="3"/>
        <v>41.81375895644566</v>
      </c>
      <c r="K47" s="136">
        <f t="shared" si="4"/>
        <v>53.42383127083762</v>
      </c>
      <c r="L47" s="136">
        <f t="shared" si="5"/>
        <v>4.762409772716733</v>
      </c>
      <c r="N47">
        <f t="shared" si="10"/>
        <v>0.05</v>
      </c>
      <c r="O47">
        <f t="shared" si="11"/>
        <v>1.9047619047619047</v>
      </c>
      <c r="P47">
        <f t="shared" si="12"/>
        <v>0.09523809523809534</v>
      </c>
      <c r="Q47">
        <v>1</v>
      </c>
      <c r="R47">
        <f t="shared" si="13"/>
        <v>0.6349206349206349</v>
      </c>
      <c r="S47">
        <f t="shared" si="13"/>
        <v>0.03174603174603178</v>
      </c>
      <c r="T47">
        <f t="shared" si="13"/>
        <v>0.3333333333333333</v>
      </c>
      <c r="U47">
        <f t="shared" si="14"/>
        <v>76.76190476190476</v>
      </c>
      <c r="V47">
        <f t="shared" si="15"/>
        <v>6.84285714285715</v>
      </c>
      <c r="W47">
        <f t="shared" si="16"/>
        <v>60.08</v>
      </c>
      <c r="X47">
        <f t="shared" si="17"/>
        <v>143.6847619047619</v>
      </c>
      <c r="Y47">
        <f t="shared" si="6"/>
        <v>100.00000000000001</v>
      </c>
      <c r="Z47">
        <f t="shared" si="7"/>
        <v>0.9523809523809523</v>
      </c>
    </row>
    <row r="48" spans="1:26" ht="15.75">
      <c r="A48" s="158">
        <v>20.5</v>
      </c>
      <c r="B48" s="149">
        <f t="shared" si="0"/>
        <v>6.5600000000000005</v>
      </c>
      <c r="C48" s="149">
        <f t="shared" si="8"/>
        <v>86.77248677248677</v>
      </c>
      <c r="D48" s="150">
        <f t="shared" si="9"/>
        <v>95.34883720930233</v>
      </c>
      <c r="F48" s="149">
        <f t="shared" si="1"/>
        <v>3.679443284620738</v>
      </c>
      <c r="G48" s="155">
        <f t="shared" si="2"/>
        <v>42.31359777313849</v>
      </c>
      <c r="J48" s="136">
        <f t="shared" si="3"/>
        <v>41.83410412861271</v>
      </c>
      <c r="K48" s="136">
        <f t="shared" si="4"/>
        <v>53.51197647455079</v>
      </c>
      <c r="L48" s="136">
        <f t="shared" si="5"/>
        <v>4.65391939683651</v>
      </c>
      <c r="N48">
        <f t="shared" si="10"/>
        <v>0.04878048780487805</v>
      </c>
      <c r="O48">
        <f t="shared" si="11"/>
        <v>1.9069767441860463</v>
      </c>
      <c r="P48">
        <f t="shared" si="12"/>
        <v>0.09302325581395365</v>
      </c>
      <c r="Q48">
        <v>1</v>
      </c>
      <c r="R48">
        <f t="shared" si="13"/>
        <v>0.6356589147286821</v>
      </c>
      <c r="S48">
        <f t="shared" si="13"/>
        <v>0.03100775193798455</v>
      </c>
      <c r="T48">
        <f t="shared" si="13"/>
        <v>0.3333333333333333</v>
      </c>
      <c r="U48">
        <f t="shared" si="14"/>
        <v>76.85116279069766</v>
      </c>
      <c r="V48">
        <f t="shared" si="15"/>
        <v>6.683720930232569</v>
      </c>
      <c r="W48">
        <f t="shared" si="16"/>
        <v>60.08</v>
      </c>
      <c r="X48">
        <f t="shared" si="17"/>
        <v>143.6148837209302</v>
      </c>
      <c r="Y48">
        <f t="shared" si="6"/>
        <v>100.00000000000001</v>
      </c>
      <c r="Z48">
        <f t="shared" si="7"/>
        <v>0.9534883720930232</v>
      </c>
    </row>
    <row r="49" spans="1:26" ht="15.75">
      <c r="A49" s="158">
        <v>21</v>
      </c>
      <c r="B49" s="149">
        <f t="shared" si="0"/>
        <v>6.72</v>
      </c>
      <c r="C49" s="149">
        <f t="shared" si="8"/>
        <v>87.04663212435233</v>
      </c>
      <c r="D49" s="150">
        <f t="shared" si="9"/>
        <v>95.45454545454545</v>
      </c>
      <c r="F49" s="149">
        <f t="shared" si="1"/>
        <v>3.7691858037578285</v>
      </c>
      <c r="G49" s="155">
        <f t="shared" si="2"/>
        <v>43.345636743215024</v>
      </c>
      <c r="J49" s="136">
        <f t="shared" si="3"/>
        <v>41.85354299791644</v>
      </c>
      <c r="K49" s="136">
        <f t="shared" si="4"/>
        <v>53.59619513245472</v>
      </c>
      <c r="L49" s="136">
        <f t="shared" si="5"/>
        <v>4.550261869628829</v>
      </c>
      <c r="N49">
        <f t="shared" si="10"/>
        <v>0.047619047619047616</v>
      </c>
      <c r="O49">
        <f t="shared" si="11"/>
        <v>1.909090909090909</v>
      </c>
      <c r="P49">
        <f t="shared" si="12"/>
        <v>0.09090909090909105</v>
      </c>
      <c r="Q49">
        <v>1</v>
      </c>
      <c r="R49">
        <f t="shared" si="13"/>
        <v>0.6363636363636364</v>
      </c>
      <c r="S49">
        <f t="shared" si="13"/>
        <v>0.03030303030303035</v>
      </c>
      <c r="T49">
        <f t="shared" si="13"/>
        <v>0.3333333333333333</v>
      </c>
      <c r="U49">
        <f t="shared" si="14"/>
        <v>76.93636363636362</v>
      </c>
      <c r="V49">
        <f t="shared" si="15"/>
        <v>6.531818181818191</v>
      </c>
      <c r="W49">
        <f t="shared" si="16"/>
        <v>60.08</v>
      </c>
      <c r="X49">
        <f t="shared" si="17"/>
        <v>143.54818181818183</v>
      </c>
      <c r="Y49">
        <f t="shared" si="6"/>
        <v>99.99999999999999</v>
      </c>
      <c r="Z49">
        <f t="shared" si="7"/>
        <v>0.9545454545454545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2005-01-20T23:39:57Z</dcterms:created>
  <dcterms:modified xsi:type="dcterms:W3CDTF">2008-12-02T17:29:37Z</dcterms:modified>
  <cp:category/>
  <cp:version/>
  <cp:contentType/>
  <cp:contentStatus/>
</cp:coreProperties>
</file>