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016"/>
  <workbookPr/>
  <mc:AlternateContent xmlns:mc="http://schemas.openxmlformats.org/markup-compatibility/2006">
    <mc:Choice Requires="x15">
      <x15ac:absPath xmlns:x15ac="http://schemas.microsoft.com/office/spreadsheetml/2010/11/ac" url="/Volumes/newactivefiles/17-08 August/3_6053R Olson-SC26/AM-17-86053/"/>
    </mc:Choice>
  </mc:AlternateContent>
  <bookViews>
    <workbookView xWindow="360" yWindow="460" windowWidth="34440" windowHeight="28340"/>
  </bookViews>
  <sheets>
    <sheet name="Sheet1" sheetId="1" r:id="rId1"/>
    <sheet name="Sheet2" sheetId="2" r:id="rId2"/>
    <sheet name="Sheet3" sheetId="3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3" i="1" l="1"/>
  <c r="C28" i="1"/>
  <c r="C29" i="1"/>
  <c r="C30" i="1"/>
  <c r="C31" i="1"/>
  <c r="C32" i="1"/>
  <c r="C33" i="1"/>
  <c r="C34" i="1"/>
  <c r="C35" i="1"/>
  <c r="C36" i="1"/>
  <c r="C37" i="1"/>
  <c r="C27" i="1"/>
  <c r="B28" i="1"/>
  <c r="B29" i="1"/>
  <c r="B30" i="1"/>
  <c r="B31" i="1"/>
  <c r="B32" i="1"/>
  <c r="B33" i="1"/>
  <c r="B34" i="1"/>
  <c r="B35" i="1"/>
  <c r="B36" i="1"/>
  <c r="B37" i="1"/>
  <c r="B27" i="1"/>
  <c r="C14" i="1"/>
  <c r="C15" i="1"/>
  <c r="C16" i="1"/>
  <c r="C17" i="1"/>
  <c r="C18" i="1"/>
  <c r="C19" i="1"/>
  <c r="C20" i="1"/>
  <c r="C21" i="1"/>
  <c r="C22" i="1"/>
  <c r="C23" i="1"/>
  <c r="C13" i="1"/>
  <c r="B14" i="1"/>
  <c r="B15" i="1"/>
  <c r="B16" i="1"/>
  <c r="B17" i="1"/>
  <c r="B18" i="1"/>
  <c r="B19" i="1"/>
  <c r="B20" i="1"/>
  <c r="B21" i="1"/>
  <c r="B22" i="1"/>
  <c r="B23" i="1"/>
  <c r="J6" i="1"/>
  <c r="O6" i="1"/>
  <c r="P6" i="1"/>
  <c r="I6" i="1"/>
  <c r="N6" i="1"/>
  <c r="J9" i="1"/>
  <c r="O9" i="1"/>
  <c r="P9" i="1"/>
  <c r="J5" i="1"/>
  <c r="O5" i="1"/>
  <c r="P5" i="1"/>
  <c r="J7" i="1"/>
  <c r="R7" i="1"/>
  <c r="S7" i="1"/>
  <c r="I9" i="1"/>
  <c r="N9" i="1"/>
  <c r="I5" i="1"/>
  <c r="N5" i="1"/>
  <c r="I7" i="1"/>
  <c r="Q7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13" i="1"/>
  <c r="L13" i="1"/>
  <c r="F9" i="1"/>
  <c r="F5" i="1"/>
  <c r="F7" i="1"/>
  <c r="F6" i="1"/>
  <c r="N19" i="1"/>
  <c r="H20" i="1"/>
  <c r="Q9" i="1"/>
  <c r="E32" i="1"/>
  <c r="E13" i="1"/>
  <c r="E35" i="1"/>
  <c r="D30" i="1"/>
  <c r="E31" i="1"/>
  <c r="F21" i="1"/>
  <c r="F18" i="1"/>
  <c r="E16" i="1"/>
  <c r="D21" i="1"/>
  <c r="D36" i="1"/>
  <c r="N20" i="1"/>
  <c r="O21" i="1"/>
  <c r="O17" i="1"/>
  <c r="F19" i="1"/>
  <c r="D22" i="1"/>
  <c r="D14" i="1"/>
  <c r="D37" i="1"/>
  <c r="D29" i="1"/>
  <c r="N21" i="1"/>
  <c r="O13" i="1"/>
  <c r="Q20" i="1"/>
  <c r="O16" i="1"/>
  <c r="E22" i="1"/>
  <c r="E14" i="1"/>
  <c r="F17" i="1"/>
  <c r="D20" i="1"/>
  <c r="D35" i="1"/>
  <c r="R9" i="1"/>
  <c r="F31" i="1"/>
  <c r="H18" i="1"/>
  <c r="E23" i="1"/>
  <c r="E21" i="1"/>
  <c r="F13" i="1"/>
  <c r="F16" i="1"/>
  <c r="D19" i="1"/>
  <c r="D34" i="1"/>
  <c r="N17" i="1"/>
  <c r="E20" i="1"/>
  <c r="F23" i="1"/>
  <c r="F15" i="1"/>
  <c r="D18" i="1"/>
  <c r="D33" i="1"/>
  <c r="K9" i="1"/>
  <c r="E15" i="1"/>
  <c r="N13" i="1"/>
  <c r="O19" i="1"/>
  <c r="O15" i="1"/>
  <c r="N23" i="1"/>
  <c r="N15" i="1"/>
  <c r="E19" i="1"/>
  <c r="F22" i="1"/>
  <c r="F14" i="1"/>
  <c r="D17" i="1"/>
  <c r="D32" i="1"/>
  <c r="L9" i="1"/>
  <c r="M9" i="1"/>
  <c r="H13" i="1"/>
  <c r="H15" i="1"/>
  <c r="O23" i="1"/>
  <c r="Q22" i="1"/>
  <c r="O18" i="1"/>
  <c r="Q14" i="1"/>
  <c r="E18" i="1"/>
  <c r="H21" i="1"/>
  <c r="D13" i="1"/>
  <c r="D16" i="1"/>
  <c r="D31" i="1"/>
  <c r="H23" i="1"/>
  <c r="H14" i="1"/>
  <c r="D28" i="1"/>
  <c r="N16" i="1"/>
  <c r="N22" i="1"/>
  <c r="N18" i="1"/>
  <c r="N14" i="1"/>
  <c r="E17" i="1"/>
  <c r="F20" i="1"/>
  <c r="D23" i="1"/>
  <c r="D15" i="1"/>
  <c r="D27" i="1"/>
  <c r="H22" i="1"/>
  <c r="Q13" i="1"/>
  <c r="Q23" i="1"/>
  <c r="Q19" i="1"/>
  <c r="Q16" i="1"/>
  <c r="O20" i="1"/>
  <c r="Q15" i="1"/>
  <c r="H17" i="1"/>
  <c r="H19" i="1"/>
  <c r="H16" i="1"/>
  <c r="O22" i="1"/>
  <c r="O14" i="1"/>
  <c r="Q18" i="1"/>
  <c r="Q17" i="1"/>
  <c r="Q21" i="1"/>
  <c r="M14" i="1"/>
  <c r="M23" i="1"/>
  <c r="M21" i="1"/>
  <c r="M19" i="1"/>
  <c r="M17" i="1"/>
  <c r="M15" i="1"/>
  <c r="M13" i="1"/>
  <c r="M22" i="1"/>
  <c r="M20" i="1"/>
  <c r="M18" i="1"/>
  <c r="M16" i="1"/>
  <c r="E33" i="1"/>
  <c r="E34" i="1"/>
  <c r="E29" i="1"/>
  <c r="E30" i="1"/>
  <c r="E37" i="1"/>
  <c r="E27" i="1"/>
  <c r="E28" i="1"/>
  <c r="E36" i="1"/>
  <c r="F34" i="1"/>
  <c r="F30" i="1"/>
  <c r="F37" i="1"/>
  <c r="F28" i="1"/>
  <c r="F36" i="1"/>
  <c r="S9" i="1"/>
  <c r="F35" i="1"/>
  <c r="F27" i="1"/>
  <c r="F32" i="1"/>
  <c r="F29" i="1"/>
  <c r="F33" i="1"/>
  <c r="H32" i="1"/>
  <c r="H27" i="1"/>
  <c r="H35" i="1"/>
  <c r="H36" i="1"/>
  <c r="H37" i="1"/>
  <c r="H34" i="1"/>
  <c r="H31" i="1"/>
  <c r="H28" i="1"/>
  <c r="H29" i="1"/>
  <c r="H30" i="1"/>
  <c r="H33" i="1"/>
</calcChain>
</file>

<file path=xl/sharedStrings.xml><?xml version="1.0" encoding="utf-8"?>
<sst xmlns="http://schemas.openxmlformats.org/spreadsheetml/2006/main" count="73" uniqueCount="42">
  <si>
    <t>Starting Compositions</t>
  </si>
  <si>
    <t>Rb (ppm)</t>
  </si>
  <si>
    <t>Sr (ppm)</t>
  </si>
  <si>
    <t>Sm (ppm)</t>
  </si>
  <si>
    <t>Nd (ppm)</t>
  </si>
  <si>
    <t xml:space="preserve">1/Nd </t>
  </si>
  <si>
    <t>Model a) Kaskanak Granodiorite and Kahiltna Flysch (t = 90 Ma)</t>
  </si>
  <si>
    <t>Model b) Diorite Sill and Kahiltna Flysch (t = 90 Ma)</t>
  </si>
  <si>
    <t>Model c) Paleocene Monzonite Dike and Kahiltna Flysch (t = 65 Ma)</t>
  </si>
  <si>
    <t>--</t>
  </si>
  <si>
    <t>a) 11528-1412 (Kaskanak Granodiorite)</t>
  </si>
  <si>
    <t>b) 3121-1080 (Diorite Sill)</t>
  </si>
  <si>
    <t>Notes:</t>
  </si>
  <si>
    <t>a) Paleocene Monzonite Dike from Goldfarb et al. (2013)</t>
  </si>
  <si>
    <t>b) Kahiltna Flysch composition from Aleinikoff et al. (2000)</t>
  </si>
  <si>
    <t xml:space="preserve">d) For further details on isotopic mixing, refer to chapter 18 of Faure (1998); specifically, equation 18.20. </t>
  </si>
  <si>
    <r>
      <t>(</t>
    </r>
    <r>
      <rPr>
        <b/>
        <vertAlign val="superscript"/>
        <sz val="12"/>
        <color theme="1"/>
        <rFont val="Times New Roman"/>
        <family val="1"/>
      </rPr>
      <t>87</t>
    </r>
    <r>
      <rPr>
        <b/>
        <sz val="12"/>
        <color theme="1"/>
        <rFont val="Times New Roman"/>
        <family val="1"/>
      </rPr>
      <t>Sr/</t>
    </r>
    <r>
      <rPr>
        <b/>
        <vertAlign val="superscript"/>
        <sz val="12"/>
        <color theme="1"/>
        <rFont val="Times New Roman"/>
        <family val="1"/>
      </rPr>
      <t>86</t>
    </r>
    <r>
      <rPr>
        <b/>
        <sz val="12"/>
        <color theme="1"/>
        <rFont val="Times New Roman"/>
        <family val="1"/>
      </rPr>
      <t>Sr)</t>
    </r>
    <r>
      <rPr>
        <b/>
        <vertAlign val="subscript"/>
        <sz val="12"/>
        <color theme="1"/>
        <rFont val="Times New Roman"/>
        <family val="1"/>
      </rPr>
      <t>m</t>
    </r>
  </si>
  <si>
    <r>
      <t>(</t>
    </r>
    <r>
      <rPr>
        <b/>
        <vertAlign val="superscript"/>
        <sz val="12"/>
        <color theme="1"/>
        <rFont val="Times New Roman"/>
        <family val="1"/>
      </rPr>
      <t>143</t>
    </r>
    <r>
      <rPr>
        <b/>
        <sz val="12"/>
        <color theme="1"/>
        <rFont val="Times New Roman"/>
        <family val="1"/>
      </rPr>
      <t>Nd/</t>
    </r>
    <r>
      <rPr>
        <b/>
        <vertAlign val="superscript"/>
        <sz val="12"/>
        <color theme="1"/>
        <rFont val="Times New Roman"/>
        <family val="1"/>
      </rPr>
      <t>144</t>
    </r>
    <r>
      <rPr>
        <b/>
        <sz val="12"/>
        <color theme="1"/>
        <rFont val="Times New Roman"/>
        <family val="1"/>
      </rPr>
      <t>Nd)</t>
    </r>
    <r>
      <rPr>
        <b/>
        <vertAlign val="subscript"/>
        <sz val="12"/>
        <color theme="1"/>
        <rFont val="Times New Roman"/>
        <family val="1"/>
      </rPr>
      <t>m</t>
    </r>
  </si>
  <si>
    <r>
      <t>(</t>
    </r>
    <r>
      <rPr>
        <b/>
        <vertAlign val="superscript"/>
        <sz val="12"/>
        <color theme="1"/>
        <rFont val="Times New Roman"/>
        <family val="1"/>
      </rPr>
      <t>87</t>
    </r>
    <r>
      <rPr>
        <b/>
        <sz val="12"/>
        <color theme="1"/>
        <rFont val="Times New Roman"/>
        <family val="1"/>
      </rPr>
      <t>Sr/</t>
    </r>
    <r>
      <rPr>
        <b/>
        <vertAlign val="superscript"/>
        <sz val="12"/>
        <color theme="1"/>
        <rFont val="Times New Roman"/>
        <family val="1"/>
      </rPr>
      <t>86</t>
    </r>
    <r>
      <rPr>
        <b/>
        <sz val="12"/>
        <color theme="1"/>
        <rFont val="Times New Roman"/>
        <family val="1"/>
      </rPr>
      <t>Sr)</t>
    </r>
    <r>
      <rPr>
        <b/>
        <vertAlign val="subscript"/>
        <sz val="12"/>
        <color theme="1"/>
        <rFont val="Times New Roman"/>
        <family val="1"/>
      </rPr>
      <t>125</t>
    </r>
  </si>
  <si>
    <r>
      <t>(</t>
    </r>
    <r>
      <rPr>
        <b/>
        <vertAlign val="superscript"/>
        <sz val="12"/>
        <color theme="1"/>
        <rFont val="Times New Roman"/>
        <family val="1"/>
      </rPr>
      <t>143</t>
    </r>
    <r>
      <rPr>
        <b/>
        <sz val="12"/>
        <color theme="1"/>
        <rFont val="Times New Roman"/>
        <family val="1"/>
      </rPr>
      <t>Nd/</t>
    </r>
    <r>
      <rPr>
        <b/>
        <vertAlign val="superscript"/>
        <sz val="12"/>
        <color theme="1"/>
        <rFont val="Times New Roman"/>
        <family val="1"/>
      </rPr>
      <t>144</t>
    </r>
    <r>
      <rPr>
        <b/>
        <sz val="12"/>
        <color theme="1"/>
        <rFont val="Times New Roman"/>
        <family val="1"/>
      </rPr>
      <t>Nd)</t>
    </r>
    <r>
      <rPr>
        <b/>
        <vertAlign val="subscript"/>
        <sz val="12"/>
        <color theme="1"/>
        <rFont val="Times New Roman"/>
        <family val="1"/>
      </rPr>
      <t>125</t>
    </r>
  </si>
  <si>
    <r>
      <t>ƐNd</t>
    </r>
    <r>
      <rPr>
        <b/>
        <vertAlign val="subscript"/>
        <sz val="12"/>
        <color theme="1"/>
        <rFont val="Times New Roman"/>
        <family val="1"/>
      </rPr>
      <t>125</t>
    </r>
  </si>
  <si>
    <r>
      <t>(</t>
    </r>
    <r>
      <rPr>
        <b/>
        <vertAlign val="superscript"/>
        <sz val="12"/>
        <color theme="1"/>
        <rFont val="Times New Roman"/>
        <family val="1"/>
      </rPr>
      <t>87</t>
    </r>
    <r>
      <rPr>
        <b/>
        <sz val="12"/>
        <color theme="1"/>
        <rFont val="Times New Roman"/>
        <family val="1"/>
      </rPr>
      <t>Sr/</t>
    </r>
    <r>
      <rPr>
        <b/>
        <vertAlign val="superscript"/>
        <sz val="12"/>
        <color theme="1"/>
        <rFont val="Times New Roman"/>
        <family val="1"/>
      </rPr>
      <t>86</t>
    </r>
    <r>
      <rPr>
        <b/>
        <sz val="12"/>
        <color theme="1"/>
        <rFont val="Times New Roman"/>
        <family val="1"/>
      </rPr>
      <t>Sr)</t>
    </r>
    <r>
      <rPr>
        <b/>
        <vertAlign val="subscript"/>
        <sz val="12"/>
        <color theme="1"/>
        <rFont val="Times New Roman"/>
        <family val="1"/>
      </rPr>
      <t>90</t>
    </r>
  </si>
  <si>
    <r>
      <t>(</t>
    </r>
    <r>
      <rPr>
        <b/>
        <vertAlign val="superscript"/>
        <sz val="12"/>
        <color theme="1"/>
        <rFont val="Times New Roman"/>
        <family val="1"/>
      </rPr>
      <t>143</t>
    </r>
    <r>
      <rPr>
        <b/>
        <sz val="12"/>
        <color theme="1"/>
        <rFont val="Times New Roman"/>
        <family val="1"/>
      </rPr>
      <t>Nd/</t>
    </r>
    <r>
      <rPr>
        <b/>
        <vertAlign val="superscript"/>
        <sz val="12"/>
        <color theme="1"/>
        <rFont val="Times New Roman"/>
        <family val="1"/>
      </rPr>
      <t>144</t>
    </r>
    <r>
      <rPr>
        <b/>
        <sz val="12"/>
        <color theme="1"/>
        <rFont val="Times New Roman"/>
        <family val="1"/>
      </rPr>
      <t>Nd)</t>
    </r>
    <r>
      <rPr>
        <b/>
        <vertAlign val="subscript"/>
        <sz val="12"/>
        <color theme="1"/>
        <rFont val="Times New Roman"/>
        <family val="1"/>
      </rPr>
      <t>90</t>
    </r>
  </si>
  <si>
    <r>
      <t>ƐNd</t>
    </r>
    <r>
      <rPr>
        <b/>
        <vertAlign val="subscript"/>
        <sz val="12"/>
        <color theme="1"/>
        <rFont val="Times New Roman"/>
        <family val="1"/>
      </rPr>
      <t>90</t>
    </r>
  </si>
  <si>
    <r>
      <t>(</t>
    </r>
    <r>
      <rPr>
        <b/>
        <vertAlign val="superscript"/>
        <sz val="12"/>
        <color theme="1"/>
        <rFont val="Times New Roman"/>
        <family val="1"/>
      </rPr>
      <t>87</t>
    </r>
    <r>
      <rPr>
        <b/>
        <sz val="12"/>
        <color theme="1"/>
        <rFont val="Times New Roman"/>
        <family val="1"/>
      </rPr>
      <t>Sr/</t>
    </r>
    <r>
      <rPr>
        <b/>
        <vertAlign val="superscript"/>
        <sz val="12"/>
        <color theme="1"/>
        <rFont val="Times New Roman"/>
        <family val="1"/>
      </rPr>
      <t>86</t>
    </r>
    <r>
      <rPr>
        <b/>
        <sz val="12"/>
        <color theme="1"/>
        <rFont val="Times New Roman"/>
        <family val="1"/>
      </rPr>
      <t>Sr)</t>
    </r>
    <r>
      <rPr>
        <b/>
        <vertAlign val="subscript"/>
        <sz val="12"/>
        <color theme="1"/>
        <rFont val="Times New Roman"/>
        <family val="1"/>
      </rPr>
      <t>65</t>
    </r>
  </si>
  <si>
    <r>
      <t>(</t>
    </r>
    <r>
      <rPr>
        <b/>
        <vertAlign val="superscript"/>
        <sz val="12"/>
        <color theme="1"/>
        <rFont val="Times New Roman"/>
        <family val="1"/>
      </rPr>
      <t>143</t>
    </r>
    <r>
      <rPr>
        <b/>
        <sz val="12"/>
        <color theme="1"/>
        <rFont val="Times New Roman"/>
        <family val="1"/>
      </rPr>
      <t>Nd/</t>
    </r>
    <r>
      <rPr>
        <b/>
        <vertAlign val="superscript"/>
        <sz val="12"/>
        <color theme="1"/>
        <rFont val="Times New Roman"/>
        <family val="1"/>
      </rPr>
      <t>144</t>
    </r>
    <r>
      <rPr>
        <b/>
        <sz val="12"/>
        <color theme="1"/>
        <rFont val="Times New Roman"/>
        <family val="1"/>
      </rPr>
      <t>Nd)</t>
    </r>
    <r>
      <rPr>
        <b/>
        <vertAlign val="subscript"/>
        <sz val="12"/>
        <color theme="1"/>
        <rFont val="Times New Roman"/>
        <family val="1"/>
      </rPr>
      <t>65</t>
    </r>
  </si>
  <si>
    <r>
      <t>ƐNd</t>
    </r>
    <r>
      <rPr>
        <b/>
        <vertAlign val="subscript"/>
        <sz val="12"/>
        <color theme="1"/>
        <rFont val="Times New Roman"/>
        <family val="1"/>
      </rPr>
      <t>65</t>
    </r>
  </si>
  <si>
    <r>
      <t>c) 174</t>
    </r>
    <r>
      <rPr>
        <vertAlign val="superscript"/>
        <sz val="12"/>
        <color theme="1"/>
        <rFont val="Times New Roman"/>
        <family val="1"/>
      </rPr>
      <t>(a)</t>
    </r>
    <r>
      <rPr>
        <sz val="12"/>
        <color theme="1"/>
        <rFont val="Times New Roman"/>
        <family val="1"/>
      </rPr>
      <t xml:space="preserve"> (Paleocene Monzonite Dike)</t>
    </r>
  </si>
  <si>
    <r>
      <t>Average Kahiltna Flysch</t>
    </r>
    <r>
      <rPr>
        <vertAlign val="superscript"/>
        <sz val="12"/>
        <color theme="1"/>
        <rFont val="Times New Roman"/>
        <family val="1"/>
      </rPr>
      <t>(b)</t>
    </r>
  </si>
  <si>
    <r>
      <t>c) Starting isotopic composition of intrusions set at (</t>
    </r>
    <r>
      <rPr>
        <vertAlign val="superscript"/>
        <sz val="12"/>
        <color theme="1"/>
        <rFont val="Times New Roman"/>
        <family val="1"/>
      </rPr>
      <t>87</t>
    </r>
    <r>
      <rPr>
        <sz val="12"/>
        <color theme="1"/>
        <rFont val="Times New Roman"/>
        <family val="1"/>
      </rPr>
      <t>Sr/</t>
    </r>
    <r>
      <rPr>
        <vertAlign val="superscript"/>
        <sz val="12"/>
        <color theme="1"/>
        <rFont val="Times New Roman"/>
        <family val="1"/>
      </rPr>
      <t>86</t>
    </r>
    <r>
      <rPr>
        <sz val="12"/>
        <color theme="1"/>
        <rFont val="Times New Roman"/>
        <family val="1"/>
      </rPr>
      <t>Sr) = 0.703290, (</t>
    </r>
    <r>
      <rPr>
        <vertAlign val="superscript"/>
        <sz val="12"/>
        <color theme="1"/>
        <rFont val="Times New Roman"/>
        <family val="1"/>
      </rPr>
      <t>143</t>
    </r>
    <r>
      <rPr>
        <sz val="12"/>
        <color theme="1"/>
        <rFont val="Times New Roman"/>
        <family val="1"/>
      </rPr>
      <t>Nd/</t>
    </r>
    <r>
      <rPr>
        <vertAlign val="superscript"/>
        <sz val="12"/>
        <color theme="1"/>
        <rFont val="Times New Roman"/>
        <family val="1"/>
      </rPr>
      <t>144</t>
    </r>
    <r>
      <rPr>
        <sz val="12"/>
        <color theme="1"/>
        <rFont val="Times New Roman"/>
        <family val="1"/>
      </rPr>
      <t>Nd) = 0.512844, and ƐNd = +6.27, which is the composition of the least-radiogenic sample from the Pebble district.</t>
    </r>
  </si>
  <si>
    <r>
      <t xml:space="preserve">Calc. </t>
    </r>
    <r>
      <rPr>
        <b/>
        <vertAlign val="superscript"/>
        <sz val="12"/>
        <color theme="1"/>
        <rFont val="Times New Roman"/>
        <family val="1"/>
      </rPr>
      <t>87</t>
    </r>
    <r>
      <rPr>
        <b/>
        <sz val="12"/>
        <color theme="1"/>
        <rFont val="Times New Roman"/>
        <family val="1"/>
      </rPr>
      <t>Rb/</t>
    </r>
    <r>
      <rPr>
        <b/>
        <vertAlign val="superscript"/>
        <sz val="12"/>
        <color theme="1"/>
        <rFont val="Times New Roman"/>
        <family val="1"/>
      </rPr>
      <t>87</t>
    </r>
    <r>
      <rPr>
        <b/>
        <sz val="12"/>
        <color theme="1"/>
        <rFont val="Times New Roman"/>
        <family val="1"/>
      </rPr>
      <t>Sr</t>
    </r>
  </si>
  <si>
    <r>
      <t xml:space="preserve">Calc. </t>
    </r>
    <r>
      <rPr>
        <b/>
        <vertAlign val="superscript"/>
        <sz val="12"/>
        <color theme="1"/>
        <rFont val="Times New Roman"/>
        <family val="1"/>
      </rPr>
      <t>147</t>
    </r>
    <r>
      <rPr>
        <b/>
        <sz val="12"/>
        <color theme="1"/>
        <rFont val="Times New Roman"/>
        <family val="1"/>
      </rPr>
      <t>Sm/</t>
    </r>
    <r>
      <rPr>
        <b/>
        <vertAlign val="superscript"/>
        <sz val="12"/>
        <color theme="1"/>
        <rFont val="Times New Roman"/>
        <family val="1"/>
      </rPr>
      <t>144</t>
    </r>
    <r>
      <rPr>
        <b/>
        <sz val="12"/>
        <color theme="1"/>
        <rFont val="Times New Roman"/>
        <family val="1"/>
      </rPr>
      <t>Nd</t>
    </r>
  </si>
  <si>
    <r>
      <t>F</t>
    </r>
    <r>
      <rPr>
        <b/>
        <vertAlign val="subscript"/>
        <sz val="12"/>
        <color theme="1"/>
        <rFont val="Times New Roman"/>
        <family val="1"/>
      </rPr>
      <t>Kahiltna</t>
    </r>
    <r>
      <rPr>
        <b/>
        <sz val="12"/>
        <color theme="1"/>
        <rFont val="Times New Roman"/>
        <family val="1"/>
      </rPr>
      <t xml:space="preserve"> (%)</t>
    </r>
  </si>
  <si>
    <r>
      <t>(</t>
    </r>
    <r>
      <rPr>
        <b/>
        <vertAlign val="superscript"/>
        <sz val="12"/>
        <color theme="1"/>
        <rFont val="Times New Roman"/>
        <family val="1"/>
      </rPr>
      <t>87</t>
    </r>
    <r>
      <rPr>
        <b/>
        <sz val="12"/>
        <color theme="1"/>
        <rFont val="Times New Roman"/>
        <family val="1"/>
      </rPr>
      <t>Sr/</t>
    </r>
    <r>
      <rPr>
        <b/>
        <vertAlign val="superscript"/>
        <sz val="12"/>
        <color theme="1"/>
        <rFont val="Times New Roman"/>
        <family val="1"/>
      </rPr>
      <t>86</t>
    </r>
    <r>
      <rPr>
        <b/>
        <sz val="12"/>
        <color theme="1"/>
        <rFont val="Times New Roman"/>
        <family val="1"/>
      </rPr>
      <t>Sr)</t>
    </r>
    <r>
      <rPr>
        <b/>
        <vertAlign val="subscript"/>
        <sz val="12"/>
        <color theme="1"/>
        <rFont val="Times New Roman"/>
        <family val="1"/>
      </rPr>
      <t>90</t>
    </r>
    <r>
      <rPr>
        <b/>
        <vertAlign val="superscript"/>
        <sz val="12"/>
        <color theme="1"/>
        <rFont val="Times New Roman"/>
        <family val="1"/>
      </rPr>
      <t>(c, d)</t>
    </r>
  </si>
  <si>
    <r>
      <t>(</t>
    </r>
    <r>
      <rPr>
        <b/>
        <vertAlign val="superscript"/>
        <sz val="12"/>
        <color theme="1"/>
        <rFont val="Times New Roman"/>
        <family val="1"/>
      </rPr>
      <t>143</t>
    </r>
    <r>
      <rPr>
        <b/>
        <sz val="12"/>
        <color theme="1"/>
        <rFont val="Times New Roman"/>
        <family val="1"/>
      </rPr>
      <t>Nd/</t>
    </r>
    <r>
      <rPr>
        <b/>
        <vertAlign val="superscript"/>
        <sz val="12"/>
        <color theme="1"/>
        <rFont val="Times New Roman"/>
        <family val="1"/>
      </rPr>
      <t>144</t>
    </r>
    <r>
      <rPr>
        <b/>
        <sz val="12"/>
        <color theme="1"/>
        <rFont val="Times New Roman"/>
        <family val="1"/>
      </rPr>
      <t>Nd)</t>
    </r>
    <r>
      <rPr>
        <b/>
        <vertAlign val="subscript"/>
        <sz val="12"/>
        <color theme="1"/>
        <rFont val="Times New Roman"/>
        <family val="1"/>
      </rPr>
      <t>90</t>
    </r>
    <r>
      <rPr>
        <b/>
        <vertAlign val="superscript"/>
        <sz val="12"/>
        <color theme="1"/>
        <rFont val="Times New Roman"/>
        <family val="1"/>
      </rPr>
      <t>(c, d)</t>
    </r>
  </si>
  <si>
    <r>
      <t>ƐNd</t>
    </r>
    <r>
      <rPr>
        <b/>
        <vertAlign val="subscript"/>
        <sz val="12"/>
        <color theme="1"/>
        <rFont val="Times New Roman"/>
        <family val="1"/>
      </rPr>
      <t>90</t>
    </r>
    <r>
      <rPr>
        <b/>
        <vertAlign val="superscript"/>
        <sz val="12"/>
        <color theme="1"/>
        <rFont val="Times New Roman"/>
        <family val="1"/>
      </rPr>
      <t>(c, d)</t>
    </r>
  </si>
  <si>
    <r>
      <t>ƐNd</t>
    </r>
    <r>
      <rPr>
        <b/>
        <vertAlign val="subscript"/>
        <sz val="12"/>
        <color theme="1"/>
        <rFont val="Times New Roman"/>
        <family val="1"/>
      </rPr>
      <t>65</t>
    </r>
    <r>
      <rPr>
        <b/>
        <vertAlign val="superscript"/>
        <sz val="12"/>
        <color theme="1"/>
        <rFont val="Times New Roman"/>
        <family val="1"/>
      </rPr>
      <t>(c, d)</t>
    </r>
  </si>
  <si>
    <r>
      <t>(</t>
    </r>
    <r>
      <rPr>
        <b/>
        <vertAlign val="superscript"/>
        <sz val="12"/>
        <color theme="1"/>
        <rFont val="Times New Roman"/>
        <family val="1"/>
      </rPr>
      <t>143</t>
    </r>
    <r>
      <rPr>
        <b/>
        <sz val="12"/>
        <color theme="1"/>
        <rFont val="Times New Roman"/>
        <family val="1"/>
      </rPr>
      <t>Nd/</t>
    </r>
    <r>
      <rPr>
        <b/>
        <vertAlign val="superscript"/>
        <sz val="12"/>
        <color theme="1"/>
        <rFont val="Times New Roman"/>
        <family val="1"/>
      </rPr>
      <t>144</t>
    </r>
    <r>
      <rPr>
        <b/>
        <sz val="12"/>
        <color theme="1"/>
        <rFont val="Times New Roman"/>
        <family val="1"/>
      </rPr>
      <t>Nd)</t>
    </r>
    <r>
      <rPr>
        <b/>
        <vertAlign val="subscript"/>
        <sz val="12"/>
        <color theme="1"/>
        <rFont val="Times New Roman"/>
        <family val="1"/>
      </rPr>
      <t>65</t>
    </r>
    <r>
      <rPr>
        <b/>
        <vertAlign val="superscript"/>
        <sz val="12"/>
        <color theme="1"/>
        <rFont val="Times New Roman"/>
        <family val="1"/>
      </rPr>
      <t>(c, d)</t>
    </r>
  </si>
  <si>
    <r>
      <t>(</t>
    </r>
    <r>
      <rPr>
        <b/>
        <vertAlign val="superscript"/>
        <sz val="12"/>
        <color theme="1"/>
        <rFont val="Times New Roman"/>
        <family val="1"/>
      </rPr>
      <t>87</t>
    </r>
    <r>
      <rPr>
        <b/>
        <sz val="12"/>
        <color theme="1"/>
        <rFont val="Times New Roman"/>
        <family val="1"/>
      </rPr>
      <t>Sr/</t>
    </r>
    <r>
      <rPr>
        <b/>
        <vertAlign val="superscript"/>
        <sz val="12"/>
        <color theme="1"/>
        <rFont val="Times New Roman"/>
        <family val="1"/>
      </rPr>
      <t>86</t>
    </r>
    <r>
      <rPr>
        <b/>
        <sz val="12"/>
        <color theme="1"/>
        <rFont val="Times New Roman"/>
        <family val="1"/>
      </rPr>
      <t>Sr)</t>
    </r>
    <r>
      <rPr>
        <b/>
        <vertAlign val="subscript"/>
        <sz val="12"/>
        <color theme="1"/>
        <rFont val="Times New Roman"/>
        <family val="1"/>
      </rPr>
      <t>65</t>
    </r>
    <r>
      <rPr>
        <b/>
        <vertAlign val="superscript"/>
        <sz val="12"/>
        <color theme="1"/>
        <rFont val="Times New Roman"/>
        <family val="1"/>
      </rPr>
      <t>(c, d)</t>
    </r>
  </si>
  <si>
    <t>Appendix E. Isotopic mixing models between igneous rocks and the Kahiltna flysch</t>
  </si>
  <si>
    <t>American Mineralogist: August 2017 Deposit AM-17-86053</t>
  </si>
  <si>
    <t>OLSON ET AL.: GEOCHEMISTRY OF THE KASKANAK BATHOLITH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</si>
</sst>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"/>
    <numFmt numFmtId="165" formatCode="0.0000"/>
    <numFmt numFmtId="166" formatCode="0.0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b/>
      <vertAlign val="subscript"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sz val="12"/>
      <color rgb="FF000000"/>
      <name val="Lucida Grande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/>
    <xf numFmtId="0" fontId="0" fillId="0" borderId="0" xfId="0" applyBorder="1" applyAlignment="1">
      <alignment horizontal="center"/>
    </xf>
    <xf numFmtId="0" fontId="1" fillId="0" borderId="0" xfId="0" applyFont="1"/>
    <xf numFmtId="0" fontId="2" fillId="0" borderId="0" xfId="0" applyFont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166" fontId="2" fillId="0" borderId="0" xfId="0" applyNumberFormat="1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 vertical="center"/>
    </xf>
    <xf numFmtId="165" fontId="2" fillId="0" borderId="0" xfId="0" quotePrefix="1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/>
    <xf numFmtId="0" fontId="1" fillId="0" borderId="0" xfId="0" applyFont="1" applyBorder="1" applyAlignment="1">
      <alignment horizontal="center" vertical="center"/>
    </xf>
    <xf numFmtId="9" fontId="2" fillId="0" borderId="0" xfId="0" applyNumberFormat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1" fillId="0" borderId="0" xfId="0" applyFont="1" applyBorder="1"/>
    <xf numFmtId="164" fontId="2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1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showGridLines="0" tabSelected="1" workbookViewId="0">
      <selection sqref="A1:A2"/>
    </sheetView>
  </sheetViews>
  <sheetFormatPr baseColWidth="10" defaultColWidth="8.83203125" defaultRowHeight="15" x14ac:dyDescent="0.2"/>
  <cols>
    <col min="1" max="1" width="36.83203125" customWidth="1"/>
    <col min="3" max="3" width="10.33203125" customWidth="1"/>
    <col min="4" max="4" width="9.5" bestFit="1" customWidth="1"/>
    <col min="5" max="5" width="15.6640625" bestFit="1" customWidth="1"/>
    <col min="6" max="6" width="9.5" customWidth="1"/>
    <col min="7" max="7" width="13.83203125" style="1" customWidth="1"/>
    <col min="8" max="8" width="12.1640625" bestFit="1" customWidth="1"/>
    <col min="9" max="9" width="11.5" customWidth="1"/>
    <col min="10" max="10" width="12.5" bestFit="1" customWidth="1"/>
    <col min="11" max="11" width="13.5" bestFit="1" customWidth="1"/>
    <col min="12" max="12" width="16.5" style="1" customWidth="1"/>
    <col min="13" max="13" width="7.5" style="1" bestFit="1" customWidth="1"/>
    <col min="14" max="14" width="15.6640625" style="1" bestFit="1" customWidth="1"/>
    <col min="15" max="15" width="15.6640625" bestFit="1" customWidth="1"/>
    <col min="16" max="16" width="6.6640625" bestFit="1" customWidth="1"/>
    <col min="17" max="17" width="12.5" bestFit="1" customWidth="1"/>
    <col min="18" max="18" width="15.6640625" bestFit="1" customWidth="1"/>
    <col min="19" max="19" width="6.6640625" bestFit="1" customWidth="1"/>
    <col min="20" max="20" width="6" bestFit="1" customWidth="1"/>
  </cols>
  <sheetData>
    <row r="1" spans="1:20" s="1" customFormat="1" ht="16" x14ac:dyDescent="0.2">
      <c r="A1" s="41" t="s">
        <v>40</v>
      </c>
    </row>
    <row r="2" spans="1:20" s="1" customFormat="1" ht="16" x14ac:dyDescent="0.2">
      <c r="A2" s="41" t="s">
        <v>41</v>
      </c>
    </row>
    <row r="3" spans="1:20" ht="17" thickBot="1" x14ac:dyDescent="0.25">
      <c r="A3" s="3" t="s">
        <v>39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spans="1:20" ht="34" x14ac:dyDescent="0.2">
      <c r="A4" s="5" t="s">
        <v>0</v>
      </c>
      <c r="B4" s="6" t="s">
        <v>1</v>
      </c>
      <c r="C4" s="6" t="s">
        <v>2</v>
      </c>
      <c r="D4" s="6" t="s">
        <v>3</v>
      </c>
      <c r="E4" s="7" t="s">
        <v>4</v>
      </c>
      <c r="F4" s="7" t="s">
        <v>5</v>
      </c>
      <c r="G4" s="7" t="s">
        <v>16</v>
      </c>
      <c r="H4" s="7" t="s">
        <v>17</v>
      </c>
      <c r="I4" s="8" t="s">
        <v>30</v>
      </c>
      <c r="J4" s="8" t="s">
        <v>31</v>
      </c>
      <c r="K4" s="7" t="s">
        <v>18</v>
      </c>
      <c r="L4" s="7" t="s">
        <v>19</v>
      </c>
      <c r="M4" s="6" t="s">
        <v>20</v>
      </c>
      <c r="N4" s="7" t="s">
        <v>21</v>
      </c>
      <c r="O4" s="7" t="s">
        <v>22</v>
      </c>
      <c r="P4" s="6" t="s">
        <v>23</v>
      </c>
      <c r="Q4" s="7" t="s">
        <v>24</v>
      </c>
      <c r="R4" s="7" t="s">
        <v>25</v>
      </c>
      <c r="S4" s="6" t="s">
        <v>26</v>
      </c>
    </row>
    <row r="5" spans="1:20" ht="16" x14ac:dyDescent="0.2">
      <c r="A5" s="9" t="s">
        <v>10</v>
      </c>
      <c r="B5" s="10">
        <v>43.4</v>
      </c>
      <c r="C5" s="10">
        <v>650</v>
      </c>
      <c r="D5" s="11">
        <v>2.89</v>
      </c>
      <c r="E5" s="12">
        <v>12.56</v>
      </c>
      <c r="F5" s="13">
        <f>1/E5</f>
        <v>7.9617834394904455E-2</v>
      </c>
      <c r="G5" s="14">
        <v>0.70387433164080071</v>
      </c>
      <c r="H5" s="14">
        <v>0.5129114865433152</v>
      </c>
      <c r="I5" s="13">
        <f>B5/C5*(0.27835*((0.006756/(0.006756+0.1194+G5*0.1194+1))*83.9134+(0.1194/(0.006756+0.1194+G5*0.1194+1))*85.9092+(G5*0.1194/(0.006756+0.1194+G5*0.1194+1))*86.9088+(1/(0.006756+0.1194+G5*0.1194+1))*87.9056))/((0.1194/(0.006756+0.1194+G5*0.1194+1))*85.4678)</f>
        <v>0.19311071728039231</v>
      </c>
      <c r="J5" s="13">
        <f>(D5/E5)*(((0.1499)*((1.141827/(1.141827+H5+1+0.348417+0.7219+0.241578+0.236418))*141.907719+(H5/(1.141827+H5+1+0.348417+0.7219+0.241578+0.236418))*142.90981+(1/(1.141827+H5+1+0.348417+0.7219+0.241578+0.236418))*143.910083+(0.348417/(1.141827+H5+1+0.348417+0.7219+0.241578+0.236418))*144.91257+(0.7219/(1.141827+H5+1+0.348417+0.7219+0.241578+0.236418))*145.913113+(0.241578/(1.141827+H5+1+0.348417+0.7219+0.241578+0.236418))*147.916889+(0.236418/(1.141827+H5+1+0.348417+0.7219+0.241578+0.236418))*149.920887))/((1/(1.141827+H5+1+0.348417+0.7219+0.241578+0.236418))*150.36))</f>
        <v>0.13906782819303659</v>
      </c>
      <c r="K5" s="15" t="s">
        <v>9</v>
      </c>
      <c r="L5" s="15" t="s">
        <v>9</v>
      </c>
      <c r="M5" s="15" t="s">
        <v>9</v>
      </c>
      <c r="N5" s="16">
        <f>((G5-I5*1.419*10^(-11)*90*10^6))</f>
        <v>0.70362770994376189</v>
      </c>
      <c r="O5" s="16">
        <f t="shared" ref="O5" si="0">(H5-J5*6.54*10^(-12)*90*10^6)</f>
        <v>0.51282963121964076</v>
      </c>
      <c r="P5" s="11">
        <f>((O5)/(0.512638-0.1967*(EXP(6.54*10^-12*90*10^6)-1))-1)*10^4</f>
        <v>5.9986265316669396</v>
      </c>
      <c r="Q5" s="15" t="s">
        <v>9</v>
      </c>
      <c r="R5" s="15" t="s">
        <v>9</v>
      </c>
      <c r="S5" s="15" t="s">
        <v>9</v>
      </c>
    </row>
    <row r="6" spans="1:20" ht="16" x14ac:dyDescent="0.2">
      <c r="A6" s="9" t="s">
        <v>11</v>
      </c>
      <c r="B6" s="17">
        <v>238.3</v>
      </c>
      <c r="C6" s="10">
        <v>238</v>
      </c>
      <c r="D6" s="11">
        <v>4.46</v>
      </c>
      <c r="E6" s="12">
        <v>17.420000000000002</v>
      </c>
      <c r="F6" s="13">
        <f>1/E6</f>
        <v>5.7405281285878296E-2</v>
      </c>
      <c r="G6" s="14">
        <v>0.707368</v>
      </c>
      <c r="H6" s="14">
        <v>0.51287499999999997</v>
      </c>
      <c r="I6" s="13">
        <f>B6/C6*(0.27835*((0.006756/(0.006756+0.1194+G6*0.1194+1))*83.9134+(0.1194/(0.006756+0.1194+G6*0.1194+1))*85.9092+(G6*0.1194/(0.006756+0.1194+G6*0.1194+1))*86.9088+(1/(0.006756+0.1194+G6*0.1194+1))*87.9056))/((0.1194/(0.006756+0.1194+G6*0.1194+1))*85.4678)</f>
        <v>2.8968469527962863</v>
      </c>
      <c r="J6" s="13">
        <f>(D6/E6)*(((0.1499)*((1.141827/(1.141827+H6+1+0.348417+0.7219+0.241578+0.236418))*141.907719+(H6/(1.141827+H6+1+0.348417+0.7219+0.241578+0.236418))*142.90981+(1/(1.141827+H6+1+0.348417+0.7219+0.241578+0.236418))*143.910083+(0.348417/(1.141827+H6+1+0.348417+0.7219+0.241578+0.236418))*144.91257+(0.7219/(1.141827+H6+1+0.348417+0.7219+0.241578+0.236418))*145.913113+(0.241578/(1.141827+H6+1+0.348417+0.7219+0.241578+0.236418))*147.916889+(0.236418/(1.141827+H6+1+0.348417+0.7219+0.241578+0.236418))*149.920887))/((1/(1.141827+H6+1+0.348417+0.7219+0.241578+0.236418))*150.36))</f>
        <v>0.15473958996332537</v>
      </c>
      <c r="K6" s="15" t="s">
        <v>9</v>
      </c>
      <c r="L6" s="15" t="s">
        <v>9</v>
      </c>
      <c r="M6" s="15" t="s">
        <v>9</v>
      </c>
      <c r="N6" s="16">
        <f>((G6-I6*1.419*10^(-11)*90*10^6))</f>
        <v>0.70366843675658386</v>
      </c>
      <c r="O6" s="16">
        <f>(H6-J6*6.54*10^(-12)*90*10^6)</f>
        <v>0.51278392027734754</v>
      </c>
      <c r="P6" s="11">
        <f>((O6)/(0.512638-0.1967*(EXP(6.54*10^-12*90*10^6)-1))-1)*10^4</f>
        <v>5.1067443198005158</v>
      </c>
      <c r="Q6" s="15" t="s">
        <v>9</v>
      </c>
      <c r="R6" s="15" t="s">
        <v>9</v>
      </c>
      <c r="S6" s="15" t="s">
        <v>9</v>
      </c>
    </row>
    <row r="7" spans="1:20" ht="18" x14ac:dyDescent="0.2">
      <c r="A7" s="9" t="s">
        <v>27</v>
      </c>
      <c r="B7" s="12">
        <v>83.462999999999994</v>
      </c>
      <c r="C7" s="10">
        <v>146</v>
      </c>
      <c r="D7" s="11">
        <v>5.8049999999999997</v>
      </c>
      <c r="E7" s="12">
        <v>32</v>
      </c>
      <c r="F7" s="13">
        <f t="shared" ref="F7:F9" si="1">1/E7</f>
        <v>3.125E-2</v>
      </c>
      <c r="G7" s="14">
        <v>0.70565</v>
      </c>
      <c r="H7" s="14">
        <v>0.51285800000000004</v>
      </c>
      <c r="I7" s="13">
        <f>B7/C7*(0.27835*((0.006756/(0.006756+0.1194+G7*0.1194+1))*83.9134+(0.1194/(0.006756+0.1194+G7*0.1194+1))*85.9092+(G7*0.1194/(0.006756+0.1194+G7*0.1194+1))*86.9088+(1/(0.006756+0.1194+G7*0.1194+1))*87.9056))/((0.1194/(0.006756+0.1194+G7*0.1194+1))*85.4678)</f>
        <v>1.6536614478949365</v>
      </c>
      <c r="J7" s="13">
        <f>(D7/E7)*(((0.1499)*((1.141827/(1.141827+H7+1+0.348417+0.7219+0.241578+0.236418))*141.907719+(H7/(1.141827+H7+1+0.348417+0.7219+0.241578+0.236418))*142.90981+(1/(1.141827+H7+1+0.348417+0.7219+0.241578+0.236418))*143.910083+(0.348417/(1.141827+H7+1+0.348417+0.7219+0.241578+0.236418))*144.91257+(0.7219/(1.141827+H7+1+0.348417+0.7219+0.241578+0.236418))*145.913113+(0.241578/(1.141827+H7+1+0.348417+0.7219+0.241578+0.236418))*147.916889+(0.236418/(1.141827+H7+1+0.348417+0.7219+0.241578+0.236418))*149.920887))/((1/(1.141827+H7+1+0.348417+0.7219+0.241578+0.236418))*150.36))</f>
        <v>0.10963904374038098</v>
      </c>
      <c r="K7" s="15" t="s">
        <v>9</v>
      </c>
      <c r="L7" s="15" t="s">
        <v>9</v>
      </c>
      <c r="M7" s="15" t="s">
        <v>9</v>
      </c>
      <c r="N7" s="15" t="s">
        <v>9</v>
      </c>
      <c r="O7" s="15" t="s">
        <v>9</v>
      </c>
      <c r="P7" s="15" t="s">
        <v>9</v>
      </c>
      <c r="Q7" s="16">
        <f>((G7-I7*1.419*10^(-11)*65*10^6))</f>
        <v>0.70412474536353409</v>
      </c>
      <c r="R7" s="16">
        <f>(H7-J7*6.54*10^(-12)*65*10^6)</f>
        <v>0.51281139244250595</v>
      </c>
      <c r="S7" s="11">
        <f>((R7)/(0.512638-0.1967*(EXP(6.54*10^-12*65*10^6)-1))-1)*10^4</f>
        <v>5.0146366000936027</v>
      </c>
    </row>
    <row r="8" spans="1:20" ht="7.5" customHeight="1" x14ac:dyDescent="0.2">
      <c r="A8" s="9"/>
      <c r="B8" s="9"/>
      <c r="C8" s="9"/>
      <c r="D8" s="9"/>
      <c r="E8" s="9"/>
      <c r="F8" s="9"/>
      <c r="G8" s="9"/>
      <c r="H8" s="9"/>
      <c r="I8" s="13"/>
      <c r="J8" s="13"/>
      <c r="K8" s="13"/>
      <c r="L8" s="13"/>
      <c r="M8" s="13"/>
      <c r="N8" s="16"/>
      <c r="O8" s="16"/>
      <c r="P8" s="11"/>
      <c r="Q8" s="9"/>
      <c r="R8" s="9"/>
      <c r="S8" s="9"/>
    </row>
    <row r="9" spans="1:20" ht="18" x14ac:dyDescent="0.2">
      <c r="A9" s="18" t="s">
        <v>28</v>
      </c>
      <c r="B9" s="12">
        <v>58.080000000000005</v>
      </c>
      <c r="C9" s="17">
        <v>127.8</v>
      </c>
      <c r="D9" s="11">
        <v>4.5920000000000005</v>
      </c>
      <c r="E9" s="12">
        <v>16.48</v>
      </c>
      <c r="F9" s="13">
        <f t="shared" si="1"/>
        <v>6.0679611650485438E-2</v>
      </c>
      <c r="G9" s="19">
        <v>0.70876199999999989</v>
      </c>
      <c r="H9" s="14">
        <v>0.51247319999999996</v>
      </c>
      <c r="I9" s="13">
        <f>B9/C9*(0.27835*((0.006756/(0.006756+0.1194+G9*0.1194+1))*83.9134+(0.1194/(0.006756+0.1194+G9*0.1194+1))*85.9092+(G9*0.1194/(0.006756+0.1194+G9*0.1194+1))*86.9088+(1/(0.006756+0.1194+G9*0.1194+1))*87.9056))/((0.1194/(0.006756+0.1194+G9*0.1194+1))*85.4678)</f>
        <v>1.3150232844929455</v>
      </c>
      <c r="J9" s="13">
        <f>(D9/E9)*(((0.1499)*((1.141827/(1.141827+H9+1+0.348417+0.7219+0.241578+0.236418))*141.907719+(H9/(1.141827+H9+1+0.348417+0.7219+0.241578+0.236418))*142.90981+(1/(1.141827+H9+1+0.348417+0.7219+0.241578+0.236418))*143.910083+(0.348417/(1.141827+H9+1+0.348417+0.7219+0.241578+0.236418))*144.91257+(0.7219/(1.141827+H9+1+0.348417+0.7219+0.241578+0.236418))*145.913113+(0.241578/(1.141827+H9+1+0.348417+0.7219+0.241578+0.236418))*147.916889+(0.236418/(1.141827+H9+1+0.348417+0.7219+0.241578+0.236418))*149.920887))/((1/(1.141827+H9+1+0.348417+0.7219+0.241578+0.236418))*150.36))</f>
        <v>0.16839076455896063</v>
      </c>
      <c r="K9" s="16">
        <f>((G9-I9*1.419*10^(-11)*125*10^6))</f>
        <v>0.70642947744913054</v>
      </c>
      <c r="L9" s="16">
        <f>(H9-J9*6.54*10^(-12)*125*10^6)</f>
        <v>0.51233554054997299</v>
      </c>
      <c r="M9" s="11">
        <f>((L9)/(0.512638-0.1967*(EXP(6.54*10^-12*125*10^6)-1))-1)*10^4</f>
        <v>-2.7628833629933514</v>
      </c>
      <c r="N9" s="16">
        <f>((G9-I9*1.419*10^(-11)*90*10^6))</f>
        <v>0.70708258376337396</v>
      </c>
      <c r="O9" s="16">
        <f>(H9-J9*6.54*10^(-12)*90*10^6)</f>
        <v>0.5123740851959806</v>
      </c>
      <c r="P9" s="11">
        <f>((O9)/(0.512638-0.1967*(EXP(6.54*10^-12*90*10^6)-1))-1)*10^4</f>
        <v>-2.889691556008378</v>
      </c>
      <c r="Q9" s="16">
        <f>((G9-I9*1.419*10^(-11)*65*10^6))</f>
        <v>0.70754908827354779</v>
      </c>
      <c r="R9" s="16">
        <f>(H9-J9*6.54*10^(-12)*65*10^6)</f>
        <v>0.51240161708598597</v>
      </c>
      <c r="S9" s="11">
        <f>((R9)/(0.512638-0.1967*(EXP(6.54*10^-12*65*10^6)-1))-1)*10^4</f>
        <v>-2.9801320421818378</v>
      </c>
    </row>
    <row r="10" spans="1:20" ht="16" x14ac:dyDescent="0.2">
      <c r="A10" s="20"/>
      <c r="B10" s="12"/>
      <c r="C10" s="17"/>
      <c r="D10" s="11"/>
      <c r="E10" s="12"/>
      <c r="F10" s="13"/>
      <c r="G10" s="13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</row>
    <row r="11" spans="1:20" ht="16" x14ac:dyDescent="0.2">
      <c r="A11" s="21" t="s">
        <v>6</v>
      </c>
      <c r="B11" s="12"/>
      <c r="C11" s="17"/>
      <c r="D11" s="11"/>
      <c r="E11" s="12"/>
      <c r="F11" s="13"/>
      <c r="G11" s="13"/>
      <c r="H11" s="9"/>
      <c r="I11" s="9"/>
      <c r="J11" s="21" t="s">
        <v>7</v>
      </c>
      <c r="K11" s="9"/>
      <c r="L11" s="9"/>
      <c r="M11" s="9"/>
      <c r="N11" s="9"/>
      <c r="O11" s="9"/>
      <c r="P11" s="9"/>
      <c r="Q11" s="9"/>
      <c r="R11" s="9"/>
      <c r="S11" s="9"/>
      <c r="T11" s="9"/>
    </row>
    <row r="12" spans="1:20" ht="19" x14ac:dyDescent="0.25">
      <c r="A12" s="22" t="s">
        <v>32</v>
      </c>
      <c r="B12" s="22" t="s">
        <v>2</v>
      </c>
      <c r="C12" s="23" t="s">
        <v>4</v>
      </c>
      <c r="D12" s="23" t="s">
        <v>5</v>
      </c>
      <c r="E12" s="24" t="s">
        <v>33</v>
      </c>
      <c r="F12" s="39" t="s">
        <v>34</v>
      </c>
      <c r="G12" s="40"/>
      <c r="H12" s="25" t="s">
        <v>35</v>
      </c>
      <c r="I12" s="9"/>
      <c r="J12" s="22" t="s">
        <v>32</v>
      </c>
      <c r="K12" s="22" t="s">
        <v>2</v>
      </c>
      <c r="L12" s="23" t="s">
        <v>4</v>
      </c>
      <c r="M12" s="23" t="s">
        <v>5</v>
      </c>
      <c r="N12" s="24" t="s">
        <v>33</v>
      </c>
      <c r="O12" s="39" t="s">
        <v>34</v>
      </c>
      <c r="P12" s="40"/>
      <c r="Q12" s="25" t="s">
        <v>35</v>
      </c>
      <c r="R12" s="9"/>
      <c r="S12" s="9"/>
      <c r="T12" s="9"/>
    </row>
    <row r="13" spans="1:20" ht="16" x14ac:dyDescent="0.2">
      <c r="A13" s="26">
        <v>0</v>
      </c>
      <c r="B13" s="17">
        <f t="shared" ref="B13:B23" si="2">$C$9*($A13)+$C$5*(1-$A13)</f>
        <v>650</v>
      </c>
      <c r="C13" s="12">
        <f t="shared" ref="C13:C23" si="3">$E$9*($A13)+$E$5*(1-$A13)</f>
        <v>12.56</v>
      </c>
      <c r="D13" s="13">
        <f t="shared" ref="D13:D23" si="4">$F$9*($A13)+$F$5*(1-$A13)</f>
        <v>7.9617834394904455E-2</v>
      </c>
      <c r="E13" s="16">
        <f t="shared" ref="E13:E23" si="5">($C$9/$B13*$N$9*$A13)+($C$5/$B13*0.70329*(1-$A13))</f>
        <v>0.70328999999999997</v>
      </c>
      <c r="F13" s="35">
        <f t="shared" ref="F13:F23" si="6">($E$9/$C13*$O$9*$A13)+($E$5/$C13*0.512844*(1-$A13))</f>
        <v>0.51284399999999997</v>
      </c>
      <c r="G13" s="36"/>
      <c r="H13" s="11">
        <f t="shared" ref="H13:H23" si="7">($E$9/$C13*$P$9*$A13)+($E$5/$C13*6.27*(1-$A13))</f>
        <v>6.27</v>
      </c>
      <c r="I13" s="9"/>
      <c r="J13" s="26">
        <v>0</v>
      </c>
      <c r="K13" s="17">
        <f t="shared" ref="K13:K23" si="8">$C$9*($J13)+$C$6*(1-$J13)</f>
        <v>238</v>
      </c>
      <c r="L13" s="12">
        <f t="shared" ref="L13:L23" si="9">$E$9*($J13)+$E$6*(1-$J13)</f>
        <v>17.420000000000002</v>
      </c>
      <c r="M13" s="13">
        <f t="shared" ref="M13:M23" si="10">$F$9*($J13)+$F$6*(1-$J13)</f>
        <v>5.7405281285878296E-2</v>
      </c>
      <c r="N13" s="16">
        <f t="shared" ref="N13:N23" si="11">($C$9/$K13*$N$9*$J13)+($C$6/$K13*0.70329*(1-$J13))</f>
        <v>0.70328999999999997</v>
      </c>
      <c r="O13" s="35">
        <f t="shared" ref="O13:O23" si="12">($E$9/$L13*$O$9*$J13)+($E$6/$L13*0.512844*(1-$J13))</f>
        <v>0.51284399999999997</v>
      </c>
      <c r="P13" s="36"/>
      <c r="Q13" s="11">
        <f t="shared" ref="Q13:Q23" si="13">($E$9/$L13*$P$9*$J13)+($E$6/$L13*6.27*(1-$J13))</f>
        <v>6.27</v>
      </c>
      <c r="R13" s="9"/>
      <c r="S13" s="9"/>
      <c r="T13" s="9"/>
    </row>
    <row r="14" spans="1:20" ht="16" x14ac:dyDescent="0.2">
      <c r="A14" s="26">
        <v>0.1</v>
      </c>
      <c r="B14" s="17">
        <f t="shared" si="2"/>
        <v>597.78</v>
      </c>
      <c r="C14" s="12">
        <f t="shared" si="3"/>
        <v>12.952</v>
      </c>
      <c r="D14" s="13">
        <f t="shared" si="4"/>
        <v>7.7724012120462552E-2</v>
      </c>
      <c r="E14" s="16">
        <f t="shared" si="5"/>
        <v>0.70337108203769938</v>
      </c>
      <c r="F14" s="35">
        <f t="shared" si="6"/>
        <v>0.51278420849312656</v>
      </c>
      <c r="G14" s="36"/>
      <c r="H14" s="11">
        <f t="shared" si="7"/>
        <v>5.1045296723052953</v>
      </c>
      <c r="I14" s="9"/>
      <c r="J14" s="26">
        <v>0.1</v>
      </c>
      <c r="K14" s="17">
        <f t="shared" si="8"/>
        <v>226.98000000000002</v>
      </c>
      <c r="L14" s="12">
        <f t="shared" si="9"/>
        <v>17.326000000000004</v>
      </c>
      <c r="M14" s="13">
        <f t="shared" si="10"/>
        <v>5.7732714322339007E-2</v>
      </c>
      <c r="N14" s="16">
        <f t="shared" si="11"/>
        <v>0.70350353960919854</v>
      </c>
      <c r="O14" s="35">
        <f t="shared" si="12"/>
        <v>0.51279930303607146</v>
      </c>
      <c r="P14" s="36"/>
      <c r="Q14" s="11">
        <f t="shared" si="13"/>
        <v>5.3987561073356911</v>
      </c>
      <c r="R14" s="9"/>
      <c r="S14" s="9"/>
      <c r="T14" s="9"/>
    </row>
    <row r="15" spans="1:20" ht="16" x14ac:dyDescent="0.2">
      <c r="A15" s="26">
        <v>0.2</v>
      </c>
      <c r="B15" s="17">
        <f t="shared" si="2"/>
        <v>545.55999999999995</v>
      </c>
      <c r="C15" s="12">
        <f t="shared" si="3"/>
        <v>13.344000000000001</v>
      </c>
      <c r="D15" s="13">
        <f t="shared" si="4"/>
        <v>7.5830189846020662E-2</v>
      </c>
      <c r="E15" s="16">
        <f t="shared" si="5"/>
        <v>0.70346768612250155</v>
      </c>
      <c r="F15" s="35">
        <f t="shared" si="6"/>
        <v>0.51272792991651317</v>
      </c>
      <c r="G15" s="36"/>
      <c r="H15" s="11">
        <f t="shared" si="7"/>
        <v>4.0075342199787451</v>
      </c>
      <c r="I15" s="9"/>
      <c r="J15" s="26">
        <v>0.2</v>
      </c>
      <c r="K15" s="17">
        <f t="shared" si="8"/>
        <v>215.96</v>
      </c>
      <c r="L15" s="12">
        <f t="shared" si="9"/>
        <v>17.232000000000003</v>
      </c>
      <c r="M15" s="13">
        <f t="shared" si="10"/>
        <v>5.8060147358799725E-2</v>
      </c>
      <c r="N15" s="16">
        <f t="shared" si="11"/>
        <v>0.7037388722031479</v>
      </c>
      <c r="O15" s="35">
        <f t="shared" si="12"/>
        <v>0.51275411843117169</v>
      </c>
      <c r="P15" s="36"/>
      <c r="Q15" s="11">
        <f t="shared" si="13"/>
        <v>4.5180070004292237</v>
      </c>
      <c r="R15" s="9"/>
      <c r="S15" s="9"/>
      <c r="T15" s="9"/>
    </row>
    <row r="16" spans="1:20" ht="16" x14ac:dyDescent="0.2">
      <c r="A16" s="26">
        <v>0.3</v>
      </c>
      <c r="B16" s="17">
        <f t="shared" si="2"/>
        <v>493.33999999999992</v>
      </c>
      <c r="C16" s="12">
        <f t="shared" si="3"/>
        <v>13.736000000000001</v>
      </c>
      <c r="D16" s="13">
        <f t="shared" si="4"/>
        <v>7.3936367571578746E-2</v>
      </c>
      <c r="E16" s="16">
        <f t="shared" si="5"/>
        <v>0.70358474127678228</v>
      </c>
      <c r="F16" s="35">
        <f t="shared" si="6"/>
        <v>0.5126748635125894</v>
      </c>
      <c r="G16" s="36"/>
      <c r="H16" s="11">
        <f t="shared" si="7"/>
        <v>2.9731512046516144</v>
      </c>
      <c r="I16" s="9"/>
      <c r="J16" s="26">
        <v>0.3</v>
      </c>
      <c r="K16" s="17">
        <f t="shared" si="8"/>
        <v>204.94</v>
      </c>
      <c r="L16" s="12">
        <f t="shared" si="9"/>
        <v>17.138000000000002</v>
      </c>
      <c r="M16" s="13">
        <f t="shared" si="10"/>
        <v>5.8387580395260437E-2</v>
      </c>
      <c r="N16" s="16">
        <f t="shared" si="11"/>
        <v>0.70399951332823141</v>
      </c>
      <c r="O16" s="35">
        <f t="shared" si="12"/>
        <v>0.51270843816133316</v>
      </c>
      <c r="P16" s="36"/>
      <c r="Q16" s="11">
        <f t="shared" si="13"/>
        <v>3.627596274191538</v>
      </c>
      <c r="R16" s="9"/>
      <c r="S16" s="9"/>
      <c r="T16" s="9"/>
    </row>
    <row r="17" spans="1:20" ht="16" x14ac:dyDescent="0.2">
      <c r="A17" s="26">
        <v>0.4</v>
      </c>
      <c r="B17" s="17">
        <f t="shared" si="2"/>
        <v>441.12</v>
      </c>
      <c r="C17" s="12">
        <f t="shared" si="3"/>
        <v>14.128</v>
      </c>
      <c r="D17" s="13">
        <f t="shared" si="4"/>
        <v>7.2042545297136856E-2</v>
      </c>
      <c r="E17" s="16">
        <f t="shared" si="5"/>
        <v>0.70372951052317656</v>
      </c>
      <c r="F17" s="35">
        <f t="shared" si="6"/>
        <v>0.51262474190344731</v>
      </c>
      <c r="G17" s="36"/>
      <c r="H17" s="11">
        <f t="shared" si="7"/>
        <v>1.9961688323041316</v>
      </c>
      <c r="I17" s="9"/>
      <c r="J17" s="26">
        <v>0.4</v>
      </c>
      <c r="K17" s="17">
        <f t="shared" si="8"/>
        <v>193.92</v>
      </c>
      <c r="L17" s="12">
        <f t="shared" si="9"/>
        <v>17.044</v>
      </c>
      <c r="M17" s="13">
        <f t="shared" si="10"/>
        <v>5.8715013431721155E-2</v>
      </c>
      <c r="N17" s="16">
        <f t="shared" si="11"/>
        <v>0.70428977765049328</v>
      </c>
      <c r="O17" s="35">
        <f t="shared" si="12"/>
        <v>0.5126622540255753</v>
      </c>
      <c r="P17" s="36"/>
      <c r="Q17" s="11">
        <f t="shared" si="13"/>
        <v>2.7273640731514184</v>
      </c>
      <c r="R17" s="9"/>
      <c r="S17" s="9"/>
      <c r="T17" s="9"/>
    </row>
    <row r="18" spans="1:20" ht="16" x14ac:dyDescent="0.2">
      <c r="A18" s="26">
        <v>0.5</v>
      </c>
      <c r="B18" s="17">
        <f t="shared" si="2"/>
        <v>388.9</v>
      </c>
      <c r="C18" s="12">
        <f t="shared" si="3"/>
        <v>14.52</v>
      </c>
      <c r="D18" s="13">
        <f t="shared" si="4"/>
        <v>7.0148723022694953E-2</v>
      </c>
      <c r="E18" s="16">
        <f t="shared" si="5"/>
        <v>0.70391315788757924</v>
      </c>
      <c r="F18" s="35">
        <f t="shared" si="6"/>
        <v>0.51257732658504684</v>
      </c>
      <c r="G18" s="36"/>
      <c r="H18" s="11">
        <f t="shared" si="7"/>
        <v>1.0719381252404245</v>
      </c>
      <c r="I18" s="9"/>
      <c r="J18" s="26">
        <v>0.5</v>
      </c>
      <c r="K18" s="17">
        <f t="shared" si="8"/>
        <v>182.9</v>
      </c>
      <c r="L18" s="12">
        <f t="shared" si="9"/>
        <v>16.950000000000003</v>
      </c>
      <c r="M18" s="13">
        <f t="shared" si="10"/>
        <v>5.9042446468181867E-2</v>
      </c>
      <c r="N18" s="16">
        <f t="shared" si="11"/>
        <v>0.7046150196964438</v>
      </c>
      <c r="O18" s="35">
        <f t="shared" si="12"/>
        <v>0.51261555764099587</v>
      </c>
      <c r="P18" s="36"/>
      <c r="Q18" s="11">
        <f t="shared" si="13"/>
        <v>1.8171469957811781</v>
      </c>
      <c r="R18" s="9"/>
      <c r="S18" s="9"/>
      <c r="T18" s="9"/>
    </row>
    <row r="19" spans="1:20" ht="16" x14ac:dyDescent="0.2">
      <c r="A19" s="26">
        <v>0.6</v>
      </c>
      <c r="B19" s="17">
        <f t="shared" si="2"/>
        <v>336.68</v>
      </c>
      <c r="C19" s="12">
        <f t="shared" si="3"/>
        <v>14.912000000000001</v>
      </c>
      <c r="D19" s="13">
        <f t="shared" si="4"/>
        <v>6.825490074825305E-2</v>
      </c>
      <c r="E19" s="16">
        <f t="shared" si="5"/>
        <v>0.70415377368116749</v>
      </c>
      <c r="F19" s="35">
        <f t="shared" si="6"/>
        <v>0.51253240413209866</v>
      </c>
      <c r="G19" s="36"/>
      <c r="H19" s="11">
        <f t="shared" si="7"/>
        <v>0.1962989467669769</v>
      </c>
      <c r="I19" s="9"/>
      <c r="J19" s="26">
        <v>0.6</v>
      </c>
      <c r="K19" s="17">
        <f t="shared" si="8"/>
        <v>171.88</v>
      </c>
      <c r="L19" s="12">
        <f t="shared" si="9"/>
        <v>16.856000000000002</v>
      </c>
      <c r="M19" s="13">
        <f t="shared" si="10"/>
        <v>5.9369879504642578E-2</v>
      </c>
      <c r="N19" s="16">
        <f t="shared" si="11"/>
        <v>0.70498196720372075</v>
      </c>
      <c r="O19" s="35">
        <f t="shared" si="12"/>
        <v>0.51256834043769905</v>
      </c>
      <c r="P19" s="36"/>
      <c r="Q19" s="11">
        <f t="shared" si="13"/>
        <v>0.89677799562109395</v>
      </c>
      <c r="R19" s="9"/>
      <c r="S19" s="9"/>
      <c r="T19" s="9"/>
    </row>
    <row r="20" spans="1:20" ht="16" x14ac:dyDescent="0.2">
      <c r="A20" s="26">
        <v>0.7</v>
      </c>
      <c r="B20" s="17">
        <f t="shared" si="2"/>
        <v>284.46000000000004</v>
      </c>
      <c r="C20" s="12">
        <f t="shared" si="3"/>
        <v>15.304</v>
      </c>
      <c r="D20" s="13">
        <f t="shared" si="4"/>
        <v>6.6361078473811147E-2</v>
      </c>
      <c r="E20" s="16">
        <f t="shared" si="5"/>
        <v>0.70448273199561073</v>
      </c>
      <c r="F20" s="35">
        <f t="shared" si="6"/>
        <v>0.51248978298620174</v>
      </c>
      <c r="G20" s="36"/>
      <c r="H20" s="11">
        <f t="shared" si="7"/>
        <v>-0.63448260520861499</v>
      </c>
      <c r="I20" s="9"/>
      <c r="J20" s="26">
        <v>0.7</v>
      </c>
      <c r="K20" s="17">
        <f t="shared" si="8"/>
        <v>160.86000000000001</v>
      </c>
      <c r="L20" s="12">
        <f t="shared" si="9"/>
        <v>16.762</v>
      </c>
      <c r="M20" s="13">
        <f t="shared" si="10"/>
        <v>5.969731254110329E-2</v>
      </c>
      <c r="N20" s="16">
        <f t="shared" si="11"/>
        <v>0.70539919149242458</v>
      </c>
      <c r="O20" s="35">
        <f t="shared" si="12"/>
        <v>0.51252059365355163</v>
      </c>
      <c r="P20" s="36"/>
      <c r="Q20" s="11">
        <f t="shared" si="13"/>
        <v>-3.391372092307865E-2</v>
      </c>
      <c r="R20" s="9"/>
      <c r="S20" s="9"/>
      <c r="T20" s="9"/>
    </row>
    <row r="21" spans="1:20" ht="16" x14ac:dyDescent="0.2">
      <c r="A21" s="26">
        <v>0.8</v>
      </c>
      <c r="B21" s="17">
        <f t="shared" si="2"/>
        <v>232.23999999999998</v>
      </c>
      <c r="C21" s="12">
        <f t="shared" si="3"/>
        <v>15.696000000000002</v>
      </c>
      <c r="D21" s="13">
        <f t="shared" si="4"/>
        <v>6.4467256199369244E-2</v>
      </c>
      <c r="E21" s="16">
        <f t="shared" si="5"/>
        <v>0.70495962523237754</v>
      </c>
      <c r="F21" s="35">
        <f t="shared" si="6"/>
        <v>0.51244929072526813</v>
      </c>
      <c r="G21" s="36"/>
      <c r="H21" s="11">
        <f t="shared" si="7"/>
        <v>-1.4237674231915431</v>
      </c>
      <c r="I21" s="9"/>
      <c r="J21" s="26">
        <v>0.8</v>
      </c>
      <c r="K21" s="17">
        <f t="shared" si="8"/>
        <v>149.84</v>
      </c>
      <c r="L21" s="12">
        <f t="shared" si="9"/>
        <v>16.667999999999999</v>
      </c>
      <c r="M21" s="13">
        <f t="shared" si="10"/>
        <v>6.0024745577564015E-2</v>
      </c>
      <c r="N21" s="16">
        <f t="shared" si="11"/>
        <v>0.70587778539753976</v>
      </c>
      <c r="O21" s="35">
        <f t="shared" si="12"/>
        <v>0.51247230832876223</v>
      </c>
      <c r="P21" s="36"/>
      <c r="Q21" s="11">
        <f t="shared" si="13"/>
        <v>-0.97510280024084839</v>
      </c>
      <c r="R21" s="9"/>
      <c r="S21" s="9"/>
      <c r="T21" s="9"/>
    </row>
    <row r="22" spans="1:20" ht="16" x14ac:dyDescent="0.2">
      <c r="A22" s="26">
        <v>0.9</v>
      </c>
      <c r="B22" s="17">
        <f t="shared" si="2"/>
        <v>180.01999999999998</v>
      </c>
      <c r="C22" s="12">
        <f t="shared" si="3"/>
        <v>16.088000000000001</v>
      </c>
      <c r="D22" s="13">
        <f t="shared" si="4"/>
        <v>6.2573433924927341E-2</v>
      </c>
      <c r="E22" s="16">
        <f t="shared" si="5"/>
        <v>0.70571319178126468</v>
      </c>
      <c r="F22" s="35">
        <f t="shared" si="6"/>
        <v>0.51241077173214711</v>
      </c>
      <c r="G22" s="36"/>
      <c r="H22" s="11">
        <f t="shared" si="7"/>
        <v>-2.1745888338336812</v>
      </c>
      <c r="I22" s="9"/>
      <c r="J22" s="26">
        <v>0.9</v>
      </c>
      <c r="K22" s="17">
        <f t="shared" si="8"/>
        <v>138.82</v>
      </c>
      <c r="L22" s="12">
        <f t="shared" si="9"/>
        <v>16.574000000000002</v>
      </c>
      <c r="M22" s="13">
        <f t="shared" si="10"/>
        <v>6.0352178614024726E-2</v>
      </c>
      <c r="N22" s="16">
        <f t="shared" si="11"/>
        <v>0.70643236410072952</v>
      </c>
      <c r="O22" s="35">
        <f t="shared" si="12"/>
        <v>0.51242347530027654</v>
      </c>
      <c r="P22" s="36"/>
      <c r="Q22" s="11">
        <f t="shared" si="13"/>
        <v>-1.9269678507732753</v>
      </c>
      <c r="R22" s="9"/>
      <c r="S22" s="9"/>
      <c r="T22" s="9"/>
    </row>
    <row r="23" spans="1:20" ht="16" x14ac:dyDescent="0.2">
      <c r="A23" s="26">
        <v>1</v>
      </c>
      <c r="B23" s="17">
        <f t="shared" si="2"/>
        <v>127.8</v>
      </c>
      <c r="C23" s="12">
        <f t="shared" si="3"/>
        <v>16.48</v>
      </c>
      <c r="D23" s="13">
        <f t="shared" si="4"/>
        <v>6.0679611650485438E-2</v>
      </c>
      <c r="E23" s="16">
        <f t="shared" si="5"/>
        <v>0.70708258376337396</v>
      </c>
      <c r="F23" s="35">
        <f t="shared" si="6"/>
        <v>0.5123740851959806</v>
      </c>
      <c r="G23" s="36"/>
      <c r="H23" s="11">
        <f t="shared" si="7"/>
        <v>-2.889691556008378</v>
      </c>
      <c r="I23" s="9"/>
      <c r="J23" s="26">
        <v>1</v>
      </c>
      <c r="K23" s="17">
        <f t="shared" si="8"/>
        <v>127.8</v>
      </c>
      <c r="L23" s="12">
        <f t="shared" si="9"/>
        <v>16.48</v>
      </c>
      <c r="M23" s="13">
        <f t="shared" si="10"/>
        <v>6.0679611650485438E-2</v>
      </c>
      <c r="N23" s="16">
        <f t="shared" si="11"/>
        <v>0.70708258376337396</v>
      </c>
      <c r="O23" s="35">
        <f t="shared" si="12"/>
        <v>0.5123740851959806</v>
      </c>
      <c r="P23" s="36"/>
      <c r="Q23" s="11">
        <f t="shared" si="13"/>
        <v>-2.889691556008378</v>
      </c>
      <c r="R23" s="9"/>
      <c r="S23" s="9"/>
      <c r="T23" s="9"/>
    </row>
    <row r="24" spans="1:20" ht="16" x14ac:dyDescent="0.2">
      <c r="A24" s="9"/>
      <c r="B24" s="9"/>
      <c r="C24" s="9"/>
      <c r="D24" s="9"/>
      <c r="E24" s="16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</row>
    <row r="25" spans="1:20" ht="16" x14ac:dyDescent="0.2">
      <c r="A25" s="21" t="s">
        <v>8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</row>
    <row r="26" spans="1:20" ht="19" x14ac:dyDescent="0.25">
      <c r="A26" s="22" t="s">
        <v>32</v>
      </c>
      <c r="B26" s="22" t="s">
        <v>2</v>
      </c>
      <c r="C26" s="23" t="s">
        <v>4</v>
      </c>
      <c r="D26" s="23" t="s">
        <v>5</v>
      </c>
      <c r="E26" s="24" t="s">
        <v>38</v>
      </c>
      <c r="F26" s="39" t="s">
        <v>37</v>
      </c>
      <c r="G26" s="40"/>
      <c r="H26" s="25" t="s">
        <v>36</v>
      </c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</row>
    <row r="27" spans="1:20" ht="16" x14ac:dyDescent="0.2">
      <c r="A27" s="26">
        <v>0</v>
      </c>
      <c r="B27" s="17">
        <f>$C$9*($A27)+$C$7*(1-$A27)</f>
        <v>146</v>
      </c>
      <c r="C27" s="12">
        <f>$E$9*($A27)+$E$7*(1-$A27)</f>
        <v>32</v>
      </c>
      <c r="D27" s="13">
        <f>$F$9*($A27)+$F$7*(1-$A27)</f>
        <v>3.125E-2</v>
      </c>
      <c r="E27" s="16">
        <f t="shared" ref="E27:E37" si="14">($C$9/$B27*$Q$9*$A27)+($C$7/$B27*0.70329*(1-$A27))</f>
        <v>0.70328999999999997</v>
      </c>
      <c r="F27" s="35">
        <f t="shared" ref="F27:F37" si="15">($E$9/$C27*$R$9*$A27)+($E$7/$C27*0.512844*(1-$A27))</f>
        <v>0.51284399999999997</v>
      </c>
      <c r="G27" s="36"/>
      <c r="H27" s="11">
        <f t="shared" ref="H27:H37" si="16">($E$9/$C27*$S$9*$A27)+($E$7/$C27*6.27*(1-$A27))</f>
        <v>6.27</v>
      </c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</row>
    <row r="28" spans="1:20" ht="16" x14ac:dyDescent="0.2">
      <c r="A28" s="26">
        <v>0.1</v>
      </c>
      <c r="B28" s="17">
        <f t="shared" ref="B28:B37" si="17">$C$9*($A28)+$C$7*(1-$A28)</f>
        <v>144.18</v>
      </c>
      <c r="C28" s="12">
        <f t="shared" ref="C28:C37" si="18">$E$9*($A28)+$E$7*(1-$A28)</f>
        <v>30.448</v>
      </c>
      <c r="D28" s="13">
        <f t="shared" ref="D28:D37" si="19">$F$9*($A28)+$F$7*(1-$A28)</f>
        <v>3.4192961165048545E-2</v>
      </c>
      <c r="E28" s="16">
        <f t="shared" si="14"/>
        <v>0.70366752218155038</v>
      </c>
      <c r="F28" s="35">
        <f t="shared" si="15"/>
        <v>0.51282005599572078</v>
      </c>
      <c r="G28" s="36"/>
      <c r="H28" s="11">
        <f t="shared" si="16"/>
        <v>5.769335995614961</v>
      </c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</row>
    <row r="29" spans="1:20" ht="16" x14ac:dyDescent="0.2">
      <c r="A29" s="26">
        <v>0.2</v>
      </c>
      <c r="B29" s="17">
        <f t="shared" si="17"/>
        <v>142.36000000000001</v>
      </c>
      <c r="C29" s="12">
        <f t="shared" si="18"/>
        <v>28.896000000000001</v>
      </c>
      <c r="D29" s="13">
        <f t="shared" si="19"/>
        <v>3.713592233009709E-2</v>
      </c>
      <c r="E29" s="16">
        <f t="shared" si="14"/>
        <v>0.7040546972202294</v>
      </c>
      <c r="F29" s="35">
        <f t="shared" si="15"/>
        <v>0.51279353993339594</v>
      </c>
      <c r="G29" s="36"/>
      <c r="H29" s="11">
        <f t="shared" si="16"/>
        <v>5.2148908080346299</v>
      </c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</row>
    <row r="30" spans="1:20" ht="16" x14ac:dyDescent="0.2">
      <c r="A30" s="26">
        <v>0.3</v>
      </c>
      <c r="B30" s="17">
        <f t="shared" si="17"/>
        <v>140.54</v>
      </c>
      <c r="C30" s="12">
        <f t="shared" si="18"/>
        <v>27.343999999999998</v>
      </c>
      <c r="D30" s="13">
        <f t="shared" si="19"/>
        <v>4.0078883495145629E-2</v>
      </c>
      <c r="E30" s="16">
        <f t="shared" si="14"/>
        <v>0.70445190013097936</v>
      </c>
      <c r="F30" s="35">
        <f t="shared" si="15"/>
        <v>0.51276401385580439</v>
      </c>
      <c r="G30" s="36"/>
      <c r="H30" s="11">
        <f t="shared" si="16"/>
        <v>4.5975068455036929</v>
      </c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</row>
    <row r="31" spans="1:20" ht="16" x14ac:dyDescent="0.2">
      <c r="A31" s="26">
        <v>0.4</v>
      </c>
      <c r="B31" s="17">
        <f t="shared" si="17"/>
        <v>138.72</v>
      </c>
      <c r="C31" s="12">
        <f t="shared" si="18"/>
        <v>25.792000000000002</v>
      </c>
      <c r="D31" s="13">
        <f t="shared" si="19"/>
        <v>4.3021844660194181E-2</v>
      </c>
      <c r="E31" s="16">
        <f t="shared" si="14"/>
        <v>0.70485952560945619</v>
      </c>
      <c r="F31" s="35">
        <f t="shared" si="15"/>
        <v>0.51273093439170359</v>
      </c>
      <c r="G31" s="36"/>
      <c r="H31" s="11">
        <f t="shared" si="16"/>
        <v>3.9058223316507945</v>
      </c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</row>
    <row r="32" spans="1:20" ht="16" x14ac:dyDescent="0.2">
      <c r="A32" s="26">
        <v>0.5</v>
      </c>
      <c r="B32" s="17">
        <f t="shared" si="17"/>
        <v>136.9</v>
      </c>
      <c r="C32" s="12">
        <f t="shared" si="18"/>
        <v>24.240000000000002</v>
      </c>
      <c r="D32" s="13">
        <f t="shared" si="19"/>
        <v>4.5964805825242719E-2</v>
      </c>
      <c r="E32" s="16">
        <f t="shared" si="14"/>
        <v>0.7052779893402461</v>
      </c>
      <c r="F32" s="35">
        <f t="shared" si="15"/>
        <v>0.51269361900942756</v>
      </c>
      <c r="G32" s="36"/>
      <c r="H32" s="11">
        <f t="shared" si="16"/>
        <v>3.1255656754299364</v>
      </c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</row>
    <row r="33" spans="1:20" ht="16" x14ac:dyDescent="0.2">
      <c r="A33" s="26">
        <v>0.6</v>
      </c>
      <c r="B33" s="17">
        <f t="shared" si="17"/>
        <v>135.07999999999998</v>
      </c>
      <c r="C33" s="12">
        <f t="shared" si="18"/>
        <v>22.688000000000002</v>
      </c>
      <c r="D33" s="13">
        <f t="shared" si="19"/>
        <v>4.8907766990291257E-2</v>
      </c>
      <c r="E33" s="16">
        <f t="shared" si="14"/>
        <v>0.70570772941083559</v>
      </c>
      <c r="F33" s="35">
        <f t="shared" si="15"/>
        <v>0.5126511984197033</v>
      </c>
      <c r="G33" s="36"/>
      <c r="H33" s="11">
        <f t="shared" si="16"/>
        <v>2.2385602242112999</v>
      </c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</row>
    <row r="34" spans="1:20" ht="16" x14ac:dyDescent="0.2">
      <c r="A34" s="26">
        <v>0.7</v>
      </c>
      <c r="B34" s="17">
        <f t="shared" si="17"/>
        <v>133.26</v>
      </c>
      <c r="C34" s="12">
        <f t="shared" si="18"/>
        <v>21.136000000000003</v>
      </c>
      <c r="D34" s="13">
        <f t="shared" si="19"/>
        <v>5.1850728155339802E-2</v>
      </c>
      <c r="E34" s="16">
        <f t="shared" si="14"/>
        <v>0.70614920784144974</v>
      </c>
      <c r="F34" s="35">
        <f t="shared" si="15"/>
        <v>0.51260254800832383</v>
      </c>
      <c r="G34" s="36"/>
      <c r="H34" s="11">
        <f t="shared" si="16"/>
        <v>1.2212905356448869</v>
      </c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</row>
    <row r="35" spans="1:20" ht="16" x14ac:dyDescent="0.2">
      <c r="A35" s="26">
        <v>0.8</v>
      </c>
      <c r="B35" s="17">
        <f t="shared" si="17"/>
        <v>131.44</v>
      </c>
      <c r="C35" s="12">
        <f t="shared" si="18"/>
        <v>19.584</v>
      </c>
      <c r="D35" s="13">
        <f t="shared" si="19"/>
        <v>5.4793689320388354E-2</v>
      </c>
      <c r="E35" s="16">
        <f t="shared" si="14"/>
        <v>0.70660291224199279</v>
      </c>
      <c r="F35" s="35">
        <f t="shared" si="15"/>
        <v>0.51254618666572915</v>
      </c>
      <c r="G35" s="36"/>
      <c r="H35" s="11">
        <f t="shared" si="16"/>
        <v>4.2786925851441726E-2</v>
      </c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</row>
    <row r="36" spans="1:20" ht="16" x14ac:dyDescent="0.2">
      <c r="A36" s="26">
        <v>0.9</v>
      </c>
      <c r="B36" s="17">
        <f t="shared" si="17"/>
        <v>129.62</v>
      </c>
      <c r="C36" s="12">
        <f t="shared" si="18"/>
        <v>18.032</v>
      </c>
      <c r="D36" s="13">
        <f t="shared" si="19"/>
        <v>5.7736650485436899E-2</v>
      </c>
      <c r="E36" s="16">
        <f t="shared" si="14"/>
        <v>0.7070693576085747</v>
      </c>
      <c r="F36" s="35">
        <f t="shared" si="15"/>
        <v>0.51248012337063797</v>
      </c>
      <c r="G36" s="36"/>
      <c r="H36" s="11">
        <f t="shared" si="16"/>
        <v>-1.3385824339863035</v>
      </c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</row>
    <row r="37" spans="1:20" ht="17" thickBot="1" x14ac:dyDescent="0.25">
      <c r="A37" s="27">
        <v>1</v>
      </c>
      <c r="B37" s="28">
        <f t="shared" si="17"/>
        <v>127.8</v>
      </c>
      <c r="C37" s="29">
        <f t="shared" si="18"/>
        <v>16.48</v>
      </c>
      <c r="D37" s="30">
        <f t="shared" si="19"/>
        <v>6.0679611650485438E-2</v>
      </c>
      <c r="E37" s="31">
        <f t="shared" si="14"/>
        <v>0.70754908827354779</v>
      </c>
      <c r="F37" s="37">
        <f t="shared" si="15"/>
        <v>0.51240161708598597</v>
      </c>
      <c r="G37" s="38"/>
      <c r="H37" s="32">
        <f t="shared" si="16"/>
        <v>-2.9801320421818378</v>
      </c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</row>
    <row r="38" spans="1:20" s="1" customFormat="1" ht="7.5" customHeight="1" x14ac:dyDescent="0.2">
      <c r="A38" s="26"/>
      <c r="B38" s="17"/>
      <c r="C38" s="12"/>
      <c r="D38" s="13"/>
      <c r="E38" s="16"/>
      <c r="F38" s="16"/>
      <c r="G38" s="2"/>
      <c r="H38" s="11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</row>
    <row r="39" spans="1:20" ht="16" x14ac:dyDescent="0.2">
      <c r="A39" s="34" t="s">
        <v>12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</row>
    <row r="40" spans="1:20" ht="16" x14ac:dyDescent="0.2">
      <c r="A40" s="9" t="s">
        <v>13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</row>
    <row r="41" spans="1:20" ht="16" x14ac:dyDescent="0.2">
      <c r="A41" s="9" t="s">
        <v>14</v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</row>
    <row r="42" spans="1:20" ht="18" x14ac:dyDescent="0.2">
      <c r="A42" s="9" t="s">
        <v>29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</row>
    <row r="43" spans="1:20" ht="16" x14ac:dyDescent="0.2">
      <c r="A43" s="9" t="s">
        <v>15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</row>
    <row r="44" spans="1:20" s="1" customFormat="1" ht="7.5" customHeight="1" thickBot="1" x14ac:dyDescent="0.25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</row>
  </sheetData>
  <mergeCells count="36">
    <mergeCell ref="F23:G23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O23:P23"/>
    <mergeCell ref="O12:P12"/>
    <mergeCell ref="O13:P13"/>
    <mergeCell ref="O14:P14"/>
    <mergeCell ref="O15:P15"/>
    <mergeCell ref="O16:P16"/>
    <mergeCell ref="O17:P17"/>
    <mergeCell ref="O18:P18"/>
    <mergeCell ref="O19:P19"/>
    <mergeCell ref="O20:P20"/>
    <mergeCell ref="O21:P21"/>
    <mergeCell ref="O22:P22"/>
    <mergeCell ref="F37:G37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Nansen</dc:creator>
  <cp:lastModifiedBy>Microsoft Office User</cp:lastModifiedBy>
  <dcterms:created xsi:type="dcterms:W3CDTF">2017-04-12T02:28:59Z</dcterms:created>
  <dcterms:modified xsi:type="dcterms:W3CDTF">2017-05-22T16:36:44Z</dcterms:modified>
</cp:coreProperties>
</file>