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autoCompressPictures="0"/>
  <bookViews>
    <workbookView xWindow="400" yWindow="40" windowWidth="20440" windowHeight="8940" tabRatio="931"/>
  </bookViews>
  <sheets>
    <sheet name="Intro" sheetId="11" r:id="rId1"/>
    <sheet name="Model (approach 1, with DHZ)" sheetId="1" r:id="rId2"/>
    <sheet name="Model (approach 2)" sheetId="9" r:id="rId3"/>
    <sheet name="Template (approach 1)" sheetId="10" r:id="rId4"/>
    <sheet name="Template (approach 2)" sheetId="6" r:id="rId5"/>
    <sheet name="Template with uncertainties" sheetId="7" r:id="rId6"/>
    <sheet name="Template showing correction" sheetId="4" r:id="rId7"/>
    <sheet name="Phlogopite Model (approach 1)" sheetId="12" r:id="rId8"/>
    <sheet name="Phlog Template (approach 2)" sheetId="13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7" l="1"/>
  <c r="I12" i="7"/>
  <c r="K12" i="7"/>
  <c r="E4" i="7"/>
  <c r="H4" i="7"/>
  <c r="J4" i="7"/>
  <c r="E5" i="7"/>
  <c r="H5" i="7"/>
  <c r="J5" i="7"/>
  <c r="E6" i="7"/>
  <c r="H6" i="7"/>
  <c r="J6" i="7"/>
  <c r="E7" i="7"/>
  <c r="H7" i="7"/>
  <c r="J7" i="7"/>
  <c r="E8" i="7"/>
  <c r="H8" i="7"/>
  <c r="J8" i="7"/>
  <c r="E9" i="7"/>
  <c r="H9" i="7"/>
  <c r="J9" i="7"/>
  <c r="E10" i="7"/>
  <c r="H10" i="7"/>
  <c r="J10" i="7"/>
  <c r="H12" i="7"/>
  <c r="J12" i="7"/>
  <c r="E13" i="7"/>
  <c r="H13" i="7"/>
  <c r="J13" i="7"/>
  <c r="J19" i="7"/>
  <c r="L22" i="7"/>
  <c r="M12" i="7"/>
  <c r="O12" i="7"/>
  <c r="I13" i="7"/>
  <c r="K13" i="7"/>
  <c r="M13" i="7"/>
  <c r="O13" i="7"/>
  <c r="O14" i="7"/>
  <c r="I4" i="7"/>
  <c r="K4" i="7"/>
  <c r="M4" i="7"/>
  <c r="O4" i="7"/>
  <c r="I5" i="7"/>
  <c r="K5" i="7"/>
  <c r="M5" i="7"/>
  <c r="O5" i="7"/>
  <c r="I6" i="7"/>
  <c r="K6" i="7"/>
  <c r="M6" i="7"/>
  <c r="O6" i="7"/>
  <c r="I7" i="7"/>
  <c r="K7" i="7"/>
  <c r="M7" i="7"/>
  <c r="O7" i="7"/>
  <c r="I8" i="7"/>
  <c r="K8" i="7"/>
  <c r="M8" i="7"/>
  <c r="O8" i="7"/>
  <c r="I9" i="7"/>
  <c r="K9" i="7"/>
  <c r="M9" i="7"/>
  <c r="O9" i="7"/>
  <c r="I10" i="7"/>
  <c r="K10" i="7"/>
  <c r="M10" i="7"/>
  <c r="O10" i="7"/>
  <c r="O11" i="7"/>
  <c r="E15" i="7"/>
  <c r="H15" i="7"/>
  <c r="J15" i="7"/>
  <c r="L15" i="7"/>
  <c r="N15" i="7"/>
  <c r="E16" i="7"/>
  <c r="H16" i="7"/>
  <c r="J16" i="7"/>
  <c r="L16" i="7"/>
  <c r="N16" i="7"/>
  <c r="N17" i="7"/>
  <c r="E17" i="7"/>
  <c r="Q17" i="7"/>
  <c r="Q16" i="7"/>
  <c r="Q15" i="7"/>
  <c r="L13" i="7"/>
  <c r="N13" i="7"/>
  <c r="Q13" i="7"/>
  <c r="L12" i="7"/>
  <c r="N12" i="7"/>
  <c r="Q12" i="7"/>
  <c r="L5" i="7"/>
  <c r="N5" i="7"/>
  <c r="Q5" i="7"/>
  <c r="L6" i="7"/>
  <c r="N6" i="7"/>
  <c r="Q6" i="7"/>
  <c r="L7" i="7"/>
  <c r="N7" i="7"/>
  <c r="Q7" i="7"/>
  <c r="L8" i="7"/>
  <c r="N8" i="7"/>
  <c r="Q8" i="7"/>
  <c r="L9" i="7"/>
  <c r="N9" i="7"/>
  <c r="Q9" i="7"/>
  <c r="L10" i="7"/>
  <c r="N10" i="7"/>
  <c r="Q10" i="7"/>
  <c r="L4" i="7"/>
  <c r="N4" i="7"/>
  <c r="Q4" i="7"/>
  <c r="F23" i="7"/>
  <c r="F19" i="7"/>
  <c r="F20" i="7"/>
  <c r="F21" i="7"/>
  <c r="F22" i="7"/>
  <c r="F24" i="7"/>
  <c r="E15" i="6"/>
  <c r="G15" i="6"/>
  <c r="H15" i="6"/>
  <c r="E4" i="6"/>
  <c r="G4" i="6"/>
  <c r="H4" i="6"/>
  <c r="E5" i="6"/>
  <c r="G5" i="6"/>
  <c r="H5" i="6"/>
  <c r="E6" i="6"/>
  <c r="G6" i="6"/>
  <c r="H6" i="6"/>
  <c r="E7" i="6"/>
  <c r="G7" i="6"/>
  <c r="H7" i="6"/>
  <c r="E8" i="6"/>
  <c r="G8" i="6"/>
  <c r="H8" i="6"/>
  <c r="E9" i="6"/>
  <c r="G9" i="6"/>
  <c r="H9" i="6"/>
  <c r="E10" i="6"/>
  <c r="G10" i="6"/>
  <c r="H10" i="6"/>
  <c r="E12" i="6"/>
  <c r="G12" i="6"/>
  <c r="H12" i="6"/>
  <c r="E13" i="6"/>
  <c r="G13" i="6"/>
  <c r="H13" i="6"/>
  <c r="H19" i="6"/>
  <c r="I22" i="6"/>
  <c r="I15" i="6"/>
  <c r="J15" i="6"/>
  <c r="E16" i="6"/>
  <c r="G16" i="6"/>
  <c r="H16" i="6"/>
  <c r="I16" i="6"/>
  <c r="J16" i="6"/>
  <c r="J17" i="6"/>
  <c r="E17" i="6"/>
  <c r="L17" i="6"/>
  <c r="I4" i="6"/>
  <c r="J4" i="6"/>
  <c r="L4" i="6"/>
  <c r="I5" i="6"/>
  <c r="J5" i="6"/>
  <c r="L5" i="6"/>
  <c r="I6" i="6"/>
  <c r="J6" i="6"/>
  <c r="L6" i="6"/>
  <c r="I7" i="6"/>
  <c r="J7" i="6"/>
  <c r="L7" i="6"/>
  <c r="I8" i="6"/>
  <c r="J8" i="6"/>
  <c r="L8" i="6"/>
  <c r="I9" i="6"/>
  <c r="J9" i="6"/>
  <c r="L9" i="6"/>
  <c r="I10" i="6"/>
  <c r="J10" i="6"/>
  <c r="L10" i="6"/>
  <c r="I12" i="6"/>
  <c r="J12" i="6"/>
  <c r="L12" i="6"/>
  <c r="I13" i="6"/>
  <c r="J13" i="6"/>
  <c r="L13" i="6"/>
  <c r="L15" i="6"/>
  <c r="L16" i="6"/>
  <c r="F23" i="6"/>
  <c r="F19" i="6"/>
  <c r="F20" i="6"/>
  <c r="F21" i="6"/>
  <c r="F22" i="6"/>
  <c r="F24" i="6"/>
  <c r="F17" i="1"/>
  <c r="E5" i="10"/>
  <c r="G5" i="10"/>
  <c r="H5" i="10"/>
  <c r="E4" i="10"/>
  <c r="G4" i="10"/>
  <c r="H4" i="10"/>
  <c r="E6" i="10"/>
  <c r="G6" i="10"/>
  <c r="H6" i="10"/>
  <c r="E7" i="10"/>
  <c r="G7" i="10"/>
  <c r="H7" i="10"/>
  <c r="E8" i="10"/>
  <c r="G8" i="10"/>
  <c r="H8" i="10"/>
  <c r="E9" i="10"/>
  <c r="G9" i="10"/>
  <c r="H9" i="10"/>
  <c r="E10" i="10"/>
  <c r="G10" i="10"/>
  <c r="H10" i="10"/>
  <c r="E12" i="10"/>
  <c r="G12" i="10"/>
  <c r="H12" i="10"/>
  <c r="E13" i="10"/>
  <c r="G13" i="10"/>
  <c r="H13" i="10"/>
  <c r="E15" i="10"/>
  <c r="G15" i="10"/>
  <c r="H15" i="10"/>
  <c r="E16" i="10"/>
  <c r="G16" i="10"/>
  <c r="H16" i="10"/>
  <c r="H19" i="10"/>
  <c r="H20" i="10"/>
  <c r="H21" i="10"/>
  <c r="H22" i="10"/>
  <c r="I23" i="10"/>
  <c r="I5" i="10"/>
  <c r="J5" i="10"/>
  <c r="L5" i="10"/>
  <c r="I6" i="10"/>
  <c r="J6" i="10"/>
  <c r="L6" i="10"/>
  <c r="I7" i="10"/>
  <c r="J7" i="10"/>
  <c r="L7" i="10"/>
  <c r="I8" i="10"/>
  <c r="J8" i="10"/>
  <c r="L8" i="10"/>
  <c r="I9" i="10"/>
  <c r="J9" i="10"/>
  <c r="L9" i="10"/>
  <c r="I10" i="10"/>
  <c r="J10" i="10"/>
  <c r="L10" i="10"/>
  <c r="I12" i="10"/>
  <c r="J12" i="10"/>
  <c r="L12" i="10"/>
  <c r="I13" i="10"/>
  <c r="J13" i="10"/>
  <c r="L13" i="10"/>
  <c r="I15" i="10"/>
  <c r="J15" i="10"/>
  <c r="L15" i="10"/>
  <c r="I16" i="10"/>
  <c r="J16" i="10"/>
  <c r="L16" i="10"/>
  <c r="J17" i="10"/>
  <c r="E17" i="10"/>
  <c r="L17" i="10"/>
  <c r="I4" i="10"/>
  <c r="J4" i="10"/>
  <c r="L4" i="10"/>
  <c r="F23" i="10"/>
  <c r="F19" i="10"/>
  <c r="F20" i="10"/>
  <c r="F21" i="10"/>
  <c r="F22" i="10"/>
  <c r="F24" i="10"/>
  <c r="I15" i="7"/>
  <c r="K15" i="7"/>
  <c r="M15" i="7"/>
  <c r="O15" i="7"/>
  <c r="I16" i="7"/>
  <c r="K16" i="7"/>
  <c r="M16" i="7"/>
  <c r="O16" i="7"/>
  <c r="O17" i="7"/>
  <c r="E7" i="13"/>
  <c r="G7" i="13"/>
  <c r="H7" i="13"/>
  <c r="E4" i="13"/>
  <c r="G4" i="13"/>
  <c r="H4" i="13"/>
  <c r="E5" i="13"/>
  <c r="G5" i="13"/>
  <c r="H5" i="13"/>
  <c r="E6" i="13"/>
  <c r="G6" i="13"/>
  <c r="H6" i="13"/>
  <c r="E8" i="13"/>
  <c r="G8" i="13"/>
  <c r="H8" i="13"/>
  <c r="E9" i="13"/>
  <c r="G9" i="13"/>
  <c r="H9" i="13"/>
  <c r="E10" i="13"/>
  <c r="G10" i="13"/>
  <c r="H10" i="13"/>
  <c r="E11" i="13"/>
  <c r="G11" i="13"/>
  <c r="H11" i="13"/>
  <c r="H17" i="13"/>
  <c r="I21" i="13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E12" i="1"/>
  <c r="G12" i="1"/>
  <c r="E13" i="1"/>
  <c r="G13" i="1"/>
  <c r="E15" i="1"/>
  <c r="G15" i="1"/>
  <c r="E16" i="1"/>
  <c r="G16" i="1"/>
  <c r="E17" i="1"/>
  <c r="G17" i="1"/>
  <c r="G20" i="1"/>
  <c r="G21" i="1"/>
  <c r="G22" i="1"/>
  <c r="H4" i="1"/>
  <c r="I4" i="1"/>
  <c r="J4" i="1"/>
  <c r="H5" i="1"/>
  <c r="I5" i="1"/>
  <c r="J5" i="1"/>
  <c r="H6" i="1"/>
  <c r="I6" i="1"/>
  <c r="J6" i="1"/>
  <c r="H7" i="1"/>
  <c r="I7" i="1"/>
  <c r="J7" i="1"/>
  <c r="H8" i="1"/>
  <c r="I8" i="1"/>
  <c r="J8" i="1"/>
  <c r="H9" i="1"/>
  <c r="I9" i="1"/>
  <c r="J9" i="1"/>
  <c r="H10" i="1"/>
  <c r="I10" i="1"/>
  <c r="J10" i="1"/>
  <c r="H12" i="1"/>
  <c r="I12" i="1"/>
  <c r="J12" i="1"/>
  <c r="H13" i="1"/>
  <c r="I13" i="1"/>
  <c r="J13" i="1"/>
  <c r="H15" i="1"/>
  <c r="I15" i="1"/>
  <c r="J15" i="1"/>
  <c r="H16" i="1"/>
  <c r="I16" i="1"/>
  <c r="J16" i="1"/>
  <c r="J19" i="1"/>
  <c r="J20" i="1"/>
  <c r="J21" i="1"/>
  <c r="J22" i="1"/>
  <c r="K24" i="1"/>
  <c r="L24" i="1"/>
  <c r="E13" i="13"/>
  <c r="G13" i="13"/>
  <c r="H13" i="13"/>
  <c r="I13" i="13"/>
  <c r="J13" i="13"/>
  <c r="E14" i="13"/>
  <c r="G14" i="13"/>
  <c r="H14" i="13"/>
  <c r="I14" i="13"/>
  <c r="J14" i="13"/>
  <c r="J15" i="13"/>
  <c r="I4" i="13"/>
  <c r="J4" i="13"/>
  <c r="I5" i="13"/>
  <c r="J5" i="13"/>
  <c r="I6" i="13"/>
  <c r="J6" i="13"/>
  <c r="I7" i="13"/>
  <c r="J7" i="13"/>
  <c r="I8" i="13"/>
  <c r="J8" i="13"/>
  <c r="I9" i="13"/>
  <c r="J9" i="13"/>
  <c r="I10" i="13"/>
  <c r="J10" i="13"/>
  <c r="I11" i="13"/>
  <c r="J11" i="13"/>
  <c r="J12" i="13"/>
  <c r="F17" i="13"/>
  <c r="F18" i="13"/>
  <c r="F19" i="13"/>
  <c r="F20" i="13"/>
  <c r="E15" i="13"/>
  <c r="E13" i="12"/>
  <c r="G13" i="12"/>
  <c r="F15" i="12"/>
  <c r="E15" i="12"/>
  <c r="G15" i="12"/>
  <c r="G18" i="12"/>
  <c r="E4" i="12"/>
  <c r="G4" i="12"/>
  <c r="E5" i="12"/>
  <c r="G5" i="12"/>
  <c r="E6" i="12"/>
  <c r="G6" i="12"/>
  <c r="E7" i="12"/>
  <c r="G7" i="12"/>
  <c r="E8" i="12"/>
  <c r="G8" i="12"/>
  <c r="E9" i="12"/>
  <c r="G9" i="12"/>
  <c r="E10" i="12"/>
  <c r="G10" i="12"/>
  <c r="E11" i="12"/>
  <c r="G11" i="12"/>
  <c r="E14" i="12"/>
  <c r="G14" i="12"/>
  <c r="G19" i="12"/>
  <c r="G20" i="12"/>
  <c r="H4" i="12"/>
  <c r="I4" i="12"/>
  <c r="J4" i="12"/>
  <c r="H5" i="12"/>
  <c r="I5" i="12"/>
  <c r="J5" i="12"/>
  <c r="H6" i="12"/>
  <c r="I6" i="12"/>
  <c r="J6" i="12"/>
  <c r="H7" i="12"/>
  <c r="I7" i="12"/>
  <c r="J7" i="12"/>
  <c r="H8" i="12"/>
  <c r="I8" i="12"/>
  <c r="J8" i="12"/>
  <c r="H9" i="12"/>
  <c r="I9" i="12"/>
  <c r="J9" i="12"/>
  <c r="H10" i="12"/>
  <c r="I10" i="12"/>
  <c r="J10" i="12"/>
  <c r="H11" i="12"/>
  <c r="I11" i="12"/>
  <c r="J11" i="12"/>
  <c r="H13" i="12"/>
  <c r="I13" i="12"/>
  <c r="J13" i="12"/>
  <c r="H14" i="12"/>
  <c r="I14" i="12"/>
  <c r="J14" i="12"/>
  <c r="J17" i="12"/>
  <c r="J18" i="12"/>
  <c r="J19" i="12"/>
  <c r="J20" i="12"/>
  <c r="J22" i="12"/>
  <c r="K4" i="12"/>
  <c r="K5" i="12"/>
  <c r="K6" i="12"/>
  <c r="K7" i="12"/>
  <c r="K8" i="12"/>
  <c r="K9" i="12"/>
  <c r="K10" i="12"/>
  <c r="K11" i="12"/>
  <c r="K13" i="12"/>
  <c r="K14" i="12"/>
  <c r="K17" i="12"/>
  <c r="K22" i="12"/>
  <c r="L13" i="12"/>
  <c r="L14" i="12"/>
  <c r="L15" i="12"/>
  <c r="L22" i="12"/>
  <c r="M13" i="12"/>
  <c r="M14" i="12"/>
  <c r="M15" i="12"/>
  <c r="L9" i="12"/>
  <c r="M9" i="12"/>
  <c r="N9" i="12"/>
  <c r="H17" i="12"/>
  <c r="H18" i="12"/>
  <c r="H19" i="12"/>
  <c r="H20" i="12"/>
  <c r="M4" i="12"/>
  <c r="M5" i="12"/>
  <c r="M6" i="12"/>
  <c r="M7" i="12"/>
  <c r="M8" i="12"/>
  <c r="M10" i="12"/>
  <c r="M11" i="12"/>
  <c r="M17" i="12"/>
  <c r="N15" i="12"/>
  <c r="H15" i="12"/>
  <c r="I15" i="12"/>
  <c r="N14" i="12"/>
  <c r="N13" i="12"/>
  <c r="N4" i="12"/>
  <c r="N5" i="12"/>
  <c r="N6" i="12"/>
  <c r="N7" i="12"/>
  <c r="N8" i="12"/>
  <c r="N10" i="12"/>
  <c r="N11" i="12"/>
  <c r="N12" i="12"/>
  <c r="L4" i="12"/>
  <c r="L5" i="12"/>
  <c r="L6" i="12"/>
  <c r="L7" i="12"/>
  <c r="L8" i="12"/>
  <c r="L10" i="12"/>
  <c r="L11" i="12"/>
  <c r="L12" i="12"/>
  <c r="H20" i="1"/>
  <c r="F16" i="9"/>
  <c r="E16" i="9"/>
  <c r="G16" i="9"/>
  <c r="E3" i="9"/>
  <c r="G3" i="9"/>
  <c r="E4" i="9"/>
  <c r="G4" i="9"/>
  <c r="E5" i="9"/>
  <c r="G5" i="9"/>
  <c r="E6" i="9"/>
  <c r="G6" i="9"/>
  <c r="E7" i="9"/>
  <c r="G7" i="9"/>
  <c r="E8" i="9"/>
  <c r="G8" i="9"/>
  <c r="E9" i="9"/>
  <c r="G9" i="9"/>
  <c r="E11" i="9"/>
  <c r="G11" i="9"/>
  <c r="E12" i="9"/>
  <c r="G12" i="9"/>
  <c r="E14" i="9"/>
  <c r="G14" i="9"/>
  <c r="E15" i="9"/>
  <c r="G15" i="9"/>
  <c r="G19" i="9"/>
  <c r="G20" i="9"/>
  <c r="G21" i="9"/>
  <c r="H16" i="9"/>
  <c r="H19" i="1"/>
  <c r="H17" i="1"/>
  <c r="I17" i="1"/>
  <c r="H3" i="9"/>
  <c r="I3" i="9"/>
  <c r="J3" i="9"/>
  <c r="H4" i="9"/>
  <c r="I4" i="9"/>
  <c r="J4" i="9"/>
  <c r="H5" i="9"/>
  <c r="I5" i="9"/>
  <c r="J5" i="9"/>
  <c r="H6" i="9"/>
  <c r="I6" i="9"/>
  <c r="J6" i="9"/>
  <c r="H7" i="9"/>
  <c r="I7" i="9"/>
  <c r="J7" i="9"/>
  <c r="H8" i="9"/>
  <c r="I8" i="9"/>
  <c r="J8" i="9"/>
  <c r="H9" i="9"/>
  <c r="I9" i="9"/>
  <c r="J9" i="9"/>
  <c r="H11" i="9"/>
  <c r="I11" i="9"/>
  <c r="J11" i="9"/>
  <c r="H12" i="9"/>
  <c r="I12" i="9"/>
  <c r="J12" i="9"/>
  <c r="J18" i="9"/>
  <c r="J21" i="9"/>
  <c r="J24" i="1"/>
  <c r="K4" i="1"/>
  <c r="L4" i="1"/>
  <c r="K5" i="1"/>
  <c r="L5" i="1"/>
  <c r="K6" i="1"/>
  <c r="L6" i="1"/>
  <c r="K7" i="1"/>
  <c r="L7" i="1"/>
  <c r="K8" i="1"/>
  <c r="L8" i="1"/>
  <c r="K9" i="1"/>
  <c r="L9" i="1"/>
  <c r="K10" i="1"/>
  <c r="L10" i="1"/>
  <c r="L11" i="1"/>
  <c r="K12" i="1"/>
  <c r="K13" i="1"/>
  <c r="K15" i="1"/>
  <c r="K16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N11" i="1"/>
  <c r="E3" i="4"/>
  <c r="G3" i="4"/>
  <c r="H3" i="4"/>
  <c r="E4" i="4"/>
  <c r="G4" i="4"/>
  <c r="H4" i="4"/>
  <c r="E5" i="4"/>
  <c r="G5" i="4"/>
  <c r="H5" i="4"/>
  <c r="E6" i="4"/>
  <c r="G6" i="4"/>
  <c r="H6" i="4"/>
  <c r="E7" i="4"/>
  <c r="G7" i="4"/>
  <c r="H7" i="4"/>
  <c r="E8" i="4"/>
  <c r="G8" i="4"/>
  <c r="H8" i="4"/>
  <c r="E9" i="4"/>
  <c r="G9" i="4"/>
  <c r="H9" i="4"/>
  <c r="E11" i="4"/>
  <c r="G11" i="4"/>
  <c r="H11" i="4"/>
  <c r="E12" i="4"/>
  <c r="G12" i="4"/>
  <c r="H12" i="4"/>
  <c r="E14" i="4"/>
  <c r="G14" i="4"/>
  <c r="H14" i="4"/>
  <c r="E15" i="4"/>
  <c r="G15" i="4"/>
  <c r="H15" i="4"/>
  <c r="H18" i="4"/>
  <c r="H19" i="4"/>
  <c r="H20" i="4"/>
  <c r="H21" i="4"/>
  <c r="H23" i="4"/>
  <c r="I11" i="4"/>
  <c r="J11" i="4"/>
  <c r="I12" i="4"/>
  <c r="J12" i="4"/>
  <c r="J13" i="4"/>
  <c r="I3" i="4"/>
  <c r="I4" i="4"/>
  <c r="I5" i="4"/>
  <c r="I6" i="4"/>
  <c r="I7" i="4"/>
  <c r="I8" i="4"/>
  <c r="I9" i="4"/>
  <c r="I14" i="4"/>
  <c r="I15" i="4"/>
  <c r="I18" i="4"/>
  <c r="I23" i="4"/>
  <c r="J23" i="4"/>
  <c r="K11" i="4"/>
  <c r="L11" i="4"/>
  <c r="K12" i="4"/>
  <c r="L12" i="4"/>
  <c r="L13" i="4"/>
  <c r="J3" i="4"/>
  <c r="J4" i="4"/>
  <c r="J5" i="4"/>
  <c r="J6" i="4"/>
  <c r="J7" i="4"/>
  <c r="J8" i="4"/>
  <c r="J9" i="4"/>
  <c r="J10" i="4"/>
  <c r="K3" i="4"/>
  <c r="L3" i="4"/>
  <c r="K4" i="4"/>
  <c r="L4" i="4"/>
  <c r="K5" i="4"/>
  <c r="L5" i="4"/>
  <c r="K6" i="4"/>
  <c r="L6" i="4"/>
  <c r="K7" i="4"/>
  <c r="L7" i="4"/>
  <c r="K8" i="4"/>
  <c r="L8" i="4"/>
  <c r="K9" i="4"/>
  <c r="L9" i="4"/>
  <c r="L10" i="4"/>
  <c r="H14" i="9"/>
  <c r="I14" i="9"/>
  <c r="J14" i="9"/>
  <c r="K14" i="9"/>
  <c r="H15" i="9"/>
  <c r="I15" i="9"/>
  <c r="J15" i="9"/>
  <c r="K15" i="9"/>
  <c r="K16" i="9"/>
  <c r="L16" i="9"/>
  <c r="I19" i="10"/>
  <c r="J14" i="10"/>
  <c r="J11" i="10"/>
  <c r="K3" i="9"/>
  <c r="K4" i="9"/>
  <c r="K5" i="9"/>
  <c r="K6" i="9"/>
  <c r="K7" i="9"/>
  <c r="K8" i="9"/>
  <c r="K9" i="9"/>
  <c r="K11" i="9"/>
  <c r="K12" i="9"/>
  <c r="H18" i="9"/>
  <c r="H19" i="9"/>
  <c r="H20" i="9"/>
  <c r="H21" i="9"/>
  <c r="L15" i="9"/>
  <c r="L14" i="9"/>
  <c r="L11" i="9"/>
  <c r="L12" i="9"/>
  <c r="L13" i="9"/>
  <c r="L3" i="9"/>
  <c r="L4" i="9"/>
  <c r="L5" i="9"/>
  <c r="L6" i="9"/>
  <c r="L7" i="9"/>
  <c r="L8" i="9"/>
  <c r="L9" i="9"/>
  <c r="L10" i="9"/>
  <c r="M15" i="1"/>
  <c r="M16" i="1"/>
  <c r="M17" i="1"/>
  <c r="K14" i="4"/>
  <c r="K15" i="4"/>
  <c r="K16" i="4"/>
  <c r="N14" i="7"/>
  <c r="N11" i="7"/>
  <c r="J14" i="6"/>
  <c r="J11" i="6"/>
  <c r="L12" i="1"/>
  <c r="L13" i="1"/>
  <c r="L14" i="1"/>
  <c r="M12" i="1"/>
  <c r="N12" i="1"/>
  <c r="M13" i="1"/>
  <c r="N13" i="1"/>
  <c r="N14" i="1"/>
  <c r="M19" i="1"/>
  <c r="K18" i="4"/>
  <c r="F18" i="4"/>
  <c r="F19" i="4"/>
  <c r="F20" i="4"/>
  <c r="F21" i="4"/>
  <c r="L16" i="4"/>
  <c r="E16" i="4"/>
  <c r="L15" i="4"/>
  <c r="J15" i="4"/>
  <c r="L14" i="4"/>
  <c r="J14" i="4"/>
  <c r="N15" i="1"/>
  <c r="N16" i="1"/>
  <c r="L15" i="1"/>
  <c r="L16" i="1"/>
  <c r="H21" i="1"/>
  <c r="H22" i="1"/>
  <c r="N17" i="1"/>
</calcChain>
</file>

<file path=xl/sharedStrings.xml><?xml version="1.0" encoding="utf-8"?>
<sst xmlns="http://schemas.openxmlformats.org/spreadsheetml/2006/main" count="368" uniqueCount="75">
  <si>
    <t>Mol Prop</t>
  </si>
  <si>
    <t>Oxide</t>
  </si>
  <si>
    <t>Wt</t>
  </si>
  <si>
    <t>Std Dev</t>
  </si>
  <si>
    <t>Oxides</t>
  </si>
  <si>
    <t>CaO</t>
  </si>
  <si>
    <t>SrO</t>
  </si>
  <si>
    <t>Na2O</t>
  </si>
  <si>
    <t>Ce2O3</t>
  </si>
  <si>
    <t>La2O3</t>
  </si>
  <si>
    <t>MnO</t>
  </si>
  <si>
    <t>FeO</t>
  </si>
  <si>
    <t>P2O5</t>
  </si>
  <si>
    <t>SiO2</t>
  </si>
  <si>
    <t>F</t>
  </si>
  <si>
    <t>Cl</t>
  </si>
  <si>
    <t>Atom Prop</t>
  </si>
  <si>
    <t>Oxygen</t>
  </si>
  <si>
    <t>O</t>
  </si>
  <si>
    <t>not-O</t>
  </si>
  <si>
    <t>Element</t>
  </si>
  <si>
    <t>Atomic Wt</t>
  </si>
  <si>
    <t>Molecular</t>
  </si>
  <si>
    <t>Stoichiometry</t>
  </si>
  <si>
    <t>-O(F)</t>
  </si>
  <si>
    <t>-O(Cl)</t>
  </si>
  <si>
    <t>Anions</t>
  </si>
  <si>
    <t>OH</t>
  </si>
  <si>
    <t xml:space="preserve">Anions </t>
  </si>
  <si>
    <t>Factor</t>
  </si>
  <si>
    <t>Model</t>
  </si>
  <si>
    <t>Wt%</t>
  </si>
  <si>
    <t>Atoms</t>
  </si>
  <si>
    <t>pfu</t>
  </si>
  <si>
    <t>Rev Anions</t>
  </si>
  <si>
    <t>Rev Factor</t>
  </si>
  <si>
    <t>Analysis</t>
  </si>
  <si>
    <t>Corrected Total:</t>
  </si>
  <si>
    <t>Total:</t>
  </si>
  <si>
    <t>∑</t>
  </si>
  <si>
    <t>Std Err</t>
  </si>
  <si>
    <t>Totals:</t>
  </si>
  <si>
    <t>Corrected Totals:</t>
  </si>
  <si>
    <t># analyses =</t>
  </si>
  <si>
    <t>pfu (rev)</t>
  </si>
  <si>
    <r>
      <t>Stoichiometry calculation for apatite: Ca</t>
    </r>
    <r>
      <rPr>
        <b/>
        <vertAlign val="subscript"/>
        <sz val="12"/>
        <color theme="1"/>
        <rFont val="Calibri"/>
        <family val="2"/>
        <scheme val="minor"/>
      </rPr>
      <t>10</t>
    </r>
    <r>
      <rPr>
        <b/>
        <sz val="12"/>
        <color theme="1"/>
        <rFont val="Calibri"/>
        <family val="2"/>
        <scheme val="minor"/>
      </rPr>
      <t>(PO</t>
    </r>
    <r>
      <rPr>
        <b/>
        <vertAlign val="subscript"/>
        <sz val="12"/>
        <color theme="1"/>
        <rFont val="Calibri"/>
        <family val="2"/>
        <scheme val="minor"/>
      </rPr>
      <t>4</t>
    </r>
    <r>
      <rPr>
        <b/>
        <sz val="12"/>
        <color theme="1"/>
        <rFont val="Calibri"/>
        <family val="2"/>
        <scheme val="minor"/>
      </rPr>
      <t>)</t>
    </r>
    <r>
      <rPr>
        <b/>
        <vertAlign val="subscript"/>
        <sz val="12"/>
        <color theme="1"/>
        <rFont val="Calibri"/>
        <family val="2"/>
        <scheme val="minor"/>
      </rPr>
      <t>6</t>
    </r>
    <r>
      <rPr>
        <b/>
        <sz val="12"/>
        <color theme="1"/>
        <rFont val="Calibri"/>
        <family val="2"/>
        <scheme val="minor"/>
      </rPr>
      <t>(F,Cl,OH)</t>
    </r>
    <r>
      <rPr>
        <b/>
        <vertAlign val="subscript"/>
        <sz val="12"/>
        <color theme="1"/>
        <rFont val="Calibri"/>
        <family val="2"/>
        <scheme val="minor"/>
      </rPr>
      <t>2</t>
    </r>
  </si>
  <si>
    <r>
      <t>S</t>
    </r>
    <r>
      <rPr>
        <vertAlign val="subscript"/>
        <sz val="11"/>
        <color theme="1"/>
        <rFont val="Calibri"/>
        <family val="2"/>
        <scheme val="minor"/>
      </rPr>
      <t>PO</t>
    </r>
  </si>
  <si>
    <r>
      <t>S</t>
    </r>
    <r>
      <rPr>
        <vertAlign val="subscript"/>
        <sz val="11"/>
        <color theme="1"/>
        <rFont val="Calibri"/>
        <family val="2"/>
        <scheme val="minor"/>
      </rPr>
      <t>POC</t>
    </r>
  </si>
  <si>
    <r>
      <t>S</t>
    </r>
    <r>
      <rPr>
        <vertAlign val="subscript"/>
        <sz val="11"/>
        <color theme="1"/>
        <rFont val="Calibri"/>
        <family val="2"/>
        <scheme val="minor"/>
      </rPr>
      <t>PO,oxides</t>
    </r>
  </si>
  <si>
    <t xml:space="preserve">Supplement to: </t>
  </si>
  <si>
    <t>"Template" sheets intended for entering EMPA data</t>
  </si>
  <si>
    <t>"Model" sheets allow entry of idealized stoichiometry</t>
  </si>
  <si>
    <t>"Template with uncertainties" allows entry of uncertainty information to estimate uncertainty in stoichiometry.</t>
  </si>
  <si>
    <r>
      <t>Stoichiometry calculation for phlogopite: K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Mg</t>
    </r>
    <r>
      <rPr>
        <b/>
        <vertAlign val="subscript"/>
        <sz val="12"/>
        <color theme="1"/>
        <rFont val="Calibri"/>
        <family val="2"/>
        <scheme val="minor"/>
      </rPr>
      <t>6</t>
    </r>
    <r>
      <rPr>
        <b/>
        <sz val="12"/>
        <color theme="1"/>
        <rFont val="Calibri"/>
        <family val="2"/>
        <scheme val="minor"/>
      </rPr>
      <t>[Al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Si</t>
    </r>
    <r>
      <rPr>
        <b/>
        <vertAlign val="subscript"/>
        <sz val="12"/>
        <color theme="1"/>
        <rFont val="Calibri"/>
        <family val="2"/>
        <scheme val="minor"/>
      </rPr>
      <t>6</t>
    </r>
    <r>
      <rPr>
        <b/>
        <sz val="12"/>
        <color theme="1"/>
        <rFont val="Calibri"/>
        <family val="2"/>
        <scheme val="minor"/>
      </rPr>
      <t>O</t>
    </r>
    <r>
      <rPr>
        <b/>
        <vertAlign val="subscript"/>
        <sz val="12"/>
        <color theme="1"/>
        <rFont val="Calibri"/>
        <family val="2"/>
        <scheme val="minor"/>
      </rPr>
      <t>20</t>
    </r>
    <r>
      <rPr>
        <b/>
        <sz val="12"/>
        <color theme="1"/>
        <rFont val="Calibri"/>
        <family val="2"/>
        <scheme val="minor"/>
      </rPr>
      <t>](F,OH)</t>
    </r>
    <r>
      <rPr>
        <b/>
        <vertAlign val="subscript"/>
        <sz val="12"/>
        <color theme="1"/>
        <rFont val="Calibri"/>
        <family val="2"/>
        <scheme val="minor"/>
      </rPr>
      <t>4</t>
    </r>
  </si>
  <si>
    <t>K2O</t>
  </si>
  <si>
    <t>MgO</t>
  </si>
  <si>
    <t>Al2O3</t>
  </si>
  <si>
    <t>TiO2</t>
  </si>
  <si>
    <t>pfu (DHZ)</t>
  </si>
  <si>
    <t>"Phlogopite" model and template shows how the same methods extend to another mineral with monovalent anion sites.</t>
  </si>
  <si>
    <t>(DHZ col 1)</t>
  </si>
  <si>
    <t>(DHZ col 2)</t>
  </si>
  <si>
    <t>(DHZ col 3)</t>
  </si>
  <si>
    <t>(DHZ col 4)</t>
  </si>
  <si>
    <t>(DHZ col 5)</t>
  </si>
  <si>
    <t>(rev col 4)</t>
  </si>
  <si>
    <t>(rev col 5)</t>
  </si>
  <si>
    <t>+est OH wt%</t>
  </si>
  <si>
    <t>Mass</t>
  </si>
  <si>
    <t>Prop</t>
  </si>
  <si>
    <t>Net Corrected Total:</t>
  </si>
  <si>
    <t>"Model (approach 1 with DHZ)" and "Template showing correction" show the correction as a 2-stage process, first assuming 26 anions and then correcting that value, for illustrative purposes.</t>
  </si>
  <si>
    <t>"Model (approach 1 with DHZ)" also be used to see the results of normalization using a static normalization of 26 or 25 anions, showing that it does not correctly reproduce the stoichiometry.</t>
  </si>
  <si>
    <t>Ketcham, R.A. (2015), Technical Note:  Calculation of stoichiometry from EMP data for apatite and other phases with mixing on monovalent anion sites</t>
  </si>
  <si>
    <t>American Mineralogist: July 2015 Deposit  AM-15-75171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</si>
</sst>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Geneva"/>
    </font>
    <font>
      <sz val="10"/>
      <color indexed="10"/>
      <name val="Geneva"/>
    </font>
    <font>
      <i/>
      <sz val="11"/>
      <color rgb="FFFA7D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7" fillId="0" borderId="3" applyNumberFormat="0" applyFill="0" applyBorder="0" applyAlignment="0" applyProtection="0"/>
  </cellStyleXfs>
  <cellXfs count="44">
    <xf numFmtId="0" fontId="0" fillId="0" borderId="0" xfId="0"/>
    <xf numFmtId="0" fontId="6" fillId="0" borderId="0" xfId="0" applyFont="1" applyAlignment="1">
      <alignment horizontal="center"/>
    </xf>
    <xf numFmtId="2" fontId="0" fillId="0" borderId="0" xfId="0" applyNumberFormat="1"/>
    <xf numFmtId="0" fontId="0" fillId="0" borderId="0" xfId="0" quotePrefix="1"/>
    <xf numFmtId="164" fontId="0" fillId="0" borderId="0" xfId="0" applyNumberFormat="1" applyBorder="1"/>
    <xf numFmtId="0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5" fillId="0" borderId="0" xfId="0" applyFont="1" applyAlignment="1">
      <alignment horizontal="center"/>
    </xf>
    <xf numFmtId="10" fontId="0" fillId="0" borderId="0" xfId="1" applyNumberFormat="1" applyFont="1"/>
    <xf numFmtId="10" fontId="0" fillId="0" borderId="0" xfId="0" applyNumberFormat="1"/>
    <xf numFmtId="2" fontId="0" fillId="0" borderId="0" xfId="1" applyNumberFormat="1" applyFont="1"/>
    <xf numFmtId="0" fontId="3" fillId="3" borderId="2" xfId="3"/>
    <xf numFmtId="0" fontId="2" fillId="2" borderId="1" xfId="2"/>
    <xf numFmtId="0" fontId="2" fillId="2" borderId="1" xfId="2" applyAlignment="1">
      <alignment horizontal="center"/>
    </xf>
    <xf numFmtId="0" fontId="0" fillId="0" borderId="0" xfId="0" applyAlignment="1">
      <alignment horizontal="center"/>
    </xf>
    <xf numFmtId="0" fontId="4" fillId="3" borderId="1" xfId="4" applyAlignment="1">
      <alignment horizontal="center"/>
    </xf>
    <xf numFmtId="2" fontId="2" fillId="2" borderId="1" xfId="2" applyNumberFormat="1"/>
    <xf numFmtId="166" fontId="3" fillId="3" borderId="2" xfId="3" applyNumberFormat="1"/>
    <xf numFmtId="166" fontId="4" fillId="3" borderId="1" xfId="4" applyNumberFormat="1"/>
    <xf numFmtId="166" fontId="8" fillId="3" borderId="1" xfId="4" applyNumberFormat="1" applyFont="1"/>
    <xf numFmtId="164" fontId="6" fillId="0" borderId="4" xfId="0" applyNumberFormat="1" applyFont="1" applyBorder="1" applyAlignment="1">
      <alignment horizontal="right"/>
    </xf>
    <xf numFmtId="165" fontId="0" fillId="0" borderId="0" xfId="0" applyNumberFormat="1" applyBorder="1"/>
    <xf numFmtId="0" fontId="5" fillId="0" borderId="0" xfId="0" applyFont="1" applyAlignment="1">
      <alignment horizontal="left"/>
    </xf>
    <xf numFmtId="2" fontId="2" fillId="2" borderId="6" xfId="2" applyNumberFormat="1" applyBorder="1"/>
    <xf numFmtId="0" fontId="2" fillId="2" borderId="6" xfId="2" applyBorder="1"/>
    <xf numFmtId="166" fontId="3" fillId="3" borderId="7" xfId="3" applyNumberFormat="1" applyBorder="1"/>
    <xf numFmtId="0" fontId="6" fillId="0" borderId="5" xfId="0" applyFont="1" applyBorder="1" applyAlignment="1">
      <alignment horizontal="center"/>
    </xf>
    <xf numFmtId="0" fontId="0" fillId="0" borderId="5" xfId="0" applyBorder="1"/>
    <xf numFmtId="10" fontId="0" fillId="0" borderId="5" xfId="0" applyNumberFormat="1" applyBorder="1"/>
    <xf numFmtId="0" fontId="5" fillId="0" borderId="5" xfId="0" applyFont="1" applyBorder="1" applyAlignment="1">
      <alignment horizontal="center"/>
    </xf>
    <xf numFmtId="0" fontId="2" fillId="2" borderId="6" xfId="2" applyBorder="1" applyAlignment="1">
      <alignment horizontal="center"/>
    </xf>
    <xf numFmtId="0" fontId="3" fillId="3" borderId="7" xfId="3" applyBorder="1"/>
    <xf numFmtId="0" fontId="0" fillId="0" borderId="5" xfId="0" applyBorder="1" applyAlignment="1">
      <alignment horizontal="center"/>
    </xf>
    <xf numFmtId="0" fontId="9" fillId="0" borderId="0" xfId="0" applyFont="1"/>
    <xf numFmtId="164" fontId="0" fillId="0" borderId="0" xfId="0" applyNumberFormat="1" applyAlignment="1">
      <alignment horizontal="center"/>
    </xf>
    <xf numFmtId="166" fontId="4" fillId="3" borderId="1" xfId="4" applyNumberFormat="1" applyFont="1"/>
    <xf numFmtId="10" fontId="12" fillId="0" borderId="0" xfId="1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3" fillId="3" borderId="2" xfId="3" applyNumberFormat="1"/>
    <xf numFmtId="0" fontId="13" fillId="0" borderId="0" xfId="0" applyFont="1"/>
  </cellXfs>
  <cellStyles count="6">
    <cellStyle name="Calculation" xfId="4" builtinId="22"/>
    <cellStyle name="Input" xfId="2" builtinId="20"/>
    <cellStyle name="Normal" xfId="0" builtinId="0"/>
    <cellStyle name="Output" xfId="3" builtinId="21"/>
    <cellStyle name="Percent" xfId="1" builtinId="5"/>
    <cellStyle name="Red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>
      <selection activeCell="D23" sqref="D23"/>
    </sheetView>
  </sheetViews>
  <sheetFormatPr baseColWidth="10" defaultColWidth="8.83203125" defaultRowHeight="14" x14ac:dyDescent="0"/>
  <sheetData>
    <row r="1" spans="1:1">
      <c r="A1" t="s">
        <v>49</v>
      </c>
    </row>
    <row r="2" spans="1:1">
      <c r="A2" t="s">
        <v>73</v>
      </c>
    </row>
    <row r="3" spans="1:1">
      <c r="A3" s="43" t="s">
        <v>74</v>
      </c>
    </row>
    <row r="5" spans="1:1">
      <c r="A5" t="s">
        <v>50</v>
      </c>
    </row>
    <row r="6" spans="1:1">
      <c r="A6" t="s">
        <v>51</v>
      </c>
    </row>
    <row r="7" spans="1:1">
      <c r="A7" t="s">
        <v>71</v>
      </c>
    </row>
    <row r="8" spans="1:1">
      <c r="A8" t="s">
        <v>72</v>
      </c>
    </row>
    <row r="9" spans="1:1">
      <c r="A9" t="s">
        <v>52</v>
      </c>
    </row>
    <row r="11" spans="1:1">
      <c r="A11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E22" sqref="E22"/>
    </sheetView>
  </sheetViews>
  <sheetFormatPr baseColWidth="10" defaultColWidth="8.83203125" defaultRowHeight="14" x14ac:dyDescent="0"/>
  <cols>
    <col min="1" max="1" width="7.1640625" customWidth="1"/>
    <col min="2" max="2" width="11.5" customWidth="1"/>
    <col min="3" max="4" width="6.6640625" customWidth="1"/>
    <col min="5" max="5" width="10.33203125" customWidth="1"/>
    <col min="6" max="6" width="13.1640625" customWidth="1"/>
    <col min="7" max="8" width="11.33203125" customWidth="1"/>
    <col min="9" max="9" width="11.1640625" customWidth="1"/>
    <col min="10" max="10" width="11" customWidth="1"/>
    <col min="11" max="12" width="11.33203125" customWidth="1"/>
    <col min="13" max="13" width="12.33203125" customWidth="1"/>
    <col min="14" max="14" width="12.6640625" customWidth="1"/>
  </cols>
  <sheetData>
    <row r="1" spans="1:14">
      <c r="A1" s="1"/>
      <c r="B1" s="1" t="s">
        <v>20</v>
      </c>
      <c r="C1" s="1"/>
      <c r="D1" s="1"/>
      <c r="E1" s="1" t="s">
        <v>22</v>
      </c>
      <c r="F1" s="1" t="s">
        <v>30</v>
      </c>
      <c r="G1" s="1" t="s">
        <v>30</v>
      </c>
      <c r="H1" s="1" t="s">
        <v>30</v>
      </c>
      <c r="I1" s="1" t="s">
        <v>0</v>
      </c>
      <c r="J1" s="1" t="s">
        <v>16</v>
      </c>
      <c r="K1" s="9" t="s">
        <v>26</v>
      </c>
      <c r="L1" s="9" t="s">
        <v>32</v>
      </c>
      <c r="M1" s="9" t="s">
        <v>28</v>
      </c>
      <c r="N1" s="9" t="s">
        <v>32</v>
      </c>
    </row>
    <row r="2" spans="1:14">
      <c r="A2" s="39" t="s">
        <v>1</v>
      </c>
      <c r="B2" s="39" t="s">
        <v>21</v>
      </c>
      <c r="C2" s="39" t="s">
        <v>18</v>
      </c>
      <c r="D2" s="39" t="s">
        <v>19</v>
      </c>
      <c r="E2" s="39" t="s">
        <v>2</v>
      </c>
      <c r="F2" s="39" t="s">
        <v>23</v>
      </c>
      <c r="G2" s="39" t="s">
        <v>21</v>
      </c>
      <c r="H2" s="39" t="s">
        <v>31</v>
      </c>
      <c r="I2" s="39" t="s">
        <v>4</v>
      </c>
      <c r="J2" s="39" t="s">
        <v>17</v>
      </c>
      <c r="K2" s="39" t="s">
        <v>33</v>
      </c>
      <c r="L2" s="39" t="s">
        <v>58</v>
      </c>
      <c r="M2" s="40" t="s">
        <v>44</v>
      </c>
      <c r="N2" s="40" t="s">
        <v>44</v>
      </c>
    </row>
    <row r="3" spans="1:14">
      <c r="A3" s="28"/>
      <c r="B3" s="28"/>
      <c r="C3" s="28"/>
      <c r="D3" s="28"/>
      <c r="E3" s="28"/>
      <c r="F3" s="28"/>
      <c r="G3" s="28"/>
      <c r="H3" s="28" t="s">
        <v>60</v>
      </c>
      <c r="I3" s="28" t="s">
        <v>61</v>
      </c>
      <c r="J3" s="28" t="s">
        <v>62</v>
      </c>
      <c r="K3" s="28" t="s">
        <v>63</v>
      </c>
      <c r="L3" s="28" t="s">
        <v>64</v>
      </c>
      <c r="M3" s="31" t="s">
        <v>65</v>
      </c>
      <c r="N3" s="31" t="s">
        <v>66</v>
      </c>
    </row>
    <row r="4" spans="1:14">
      <c r="A4" t="s">
        <v>5</v>
      </c>
      <c r="B4">
        <v>40.078000000000003</v>
      </c>
      <c r="C4" s="16">
        <v>1</v>
      </c>
      <c r="D4" s="16">
        <v>1</v>
      </c>
      <c r="E4">
        <f t="shared" ref="E4:E10" si="0">B4*D4+B$18*C4</f>
        <v>56.077000000000005</v>
      </c>
      <c r="F4" s="32">
        <v>10</v>
      </c>
      <c r="G4">
        <f t="shared" ref="G4:G10" si="1">F4*E4</f>
        <v>560.7700000000001</v>
      </c>
      <c r="H4" s="10">
        <f t="shared" ref="H4:H10" si="2">G4/G$22</f>
        <v>0.54786039223822647</v>
      </c>
      <c r="I4" s="4">
        <f t="shared" ref="I4:I10" si="3">H4/E4</f>
        <v>9.7697878316997423E-3</v>
      </c>
      <c r="J4" s="4">
        <f t="shared" ref="J4:J10" si="4">I4*C4</f>
        <v>9.7697878316997423E-3</v>
      </c>
      <c r="K4" s="7">
        <f t="shared" ref="K4:K10" si="5">$J4*J$24</f>
        <v>9.7402584752911086</v>
      </c>
      <c r="L4" s="7">
        <f>K4*$D4/$C4</f>
        <v>9.7402584752911086</v>
      </c>
      <c r="M4">
        <f t="shared" ref="M4:M10" si="6">$J4*L$24</f>
        <v>10.000000000000002</v>
      </c>
      <c r="N4" s="33">
        <f>M4*$D4/$C4</f>
        <v>10.000000000000002</v>
      </c>
    </row>
    <row r="5" spans="1:14">
      <c r="A5" t="s">
        <v>6</v>
      </c>
      <c r="B5">
        <v>87.62</v>
      </c>
      <c r="C5" s="16">
        <v>1</v>
      </c>
      <c r="D5" s="16">
        <v>1</v>
      </c>
      <c r="E5">
        <f t="shared" si="0"/>
        <v>103.619</v>
      </c>
      <c r="F5" s="15"/>
      <c r="G5">
        <f t="shared" si="1"/>
        <v>0</v>
      </c>
      <c r="H5" s="10">
        <f t="shared" si="2"/>
        <v>0</v>
      </c>
      <c r="I5" s="4">
        <f t="shared" si="3"/>
        <v>0</v>
      </c>
      <c r="J5" s="4">
        <f t="shared" si="4"/>
        <v>0</v>
      </c>
      <c r="K5">
        <f t="shared" si="5"/>
        <v>0</v>
      </c>
      <c r="L5">
        <f t="shared" ref="L5" si="7">K5*$D5/$C5</f>
        <v>0</v>
      </c>
      <c r="M5">
        <f t="shared" si="6"/>
        <v>0</v>
      </c>
      <c r="N5" s="13">
        <f t="shared" ref="N5:N13" si="8">M5*$D5/$C5</f>
        <v>0</v>
      </c>
    </row>
    <row r="6" spans="1:14">
      <c r="A6" t="s">
        <v>7</v>
      </c>
      <c r="B6">
        <v>22.989000000000001</v>
      </c>
      <c r="C6" s="16">
        <v>1</v>
      </c>
      <c r="D6" s="16">
        <v>2</v>
      </c>
      <c r="E6">
        <f t="shared" si="0"/>
        <v>61.977000000000004</v>
      </c>
      <c r="F6" s="15"/>
      <c r="G6">
        <f t="shared" si="1"/>
        <v>0</v>
      </c>
      <c r="H6" s="10">
        <f t="shared" si="2"/>
        <v>0</v>
      </c>
      <c r="I6" s="4">
        <f t="shared" si="3"/>
        <v>0</v>
      </c>
      <c r="J6" s="4">
        <f t="shared" si="4"/>
        <v>0</v>
      </c>
      <c r="K6">
        <f t="shared" si="5"/>
        <v>0</v>
      </c>
      <c r="L6">
        <f t="shared" ref="L6" si="9">K6*$D6/$C6</f>
        <v>0</v>
      </c>
      <c r="M6">
        <f t="shared" si="6"/>
        <v>0</v>
      </c>
      <c r="N6" s="13">
        <f t="shared" si="8"/>
        <v>0</v>
      </c>
    </row>
    <row r="7" spans="1:14">
      <c r="A7" t="s">
        <v>8</v>
      </c>
      <c r="B7">
        <v>140.11600000000001</v>
      </c>
      <c r="C7" s="16">
        <v>3</v>
      </c>
      <c r="D7" s="16">
        <v>2</v>
      </c>
      <c r="E7">
        <f t="shared" si="0"/>
        <v>328.22900000000004</v>
      </c>
      <c r="F7" s="15"/>
      <c r="G7">
        <f t="shared" si="1"/>
        <v>0</v>
      </c>
      <c r="H7" s="10">
        <f t="shared" si="2"/>
        <v>0</v>
      </c>
      <c r="I7" s="4">
        <f t="shared" si="3"/>
        <v>0</v>
      </c>
      <c r="J7" s="4">
        <f t="shared" si="4"/>
        <v>0</v>
      </c>
      <c r="K7">
        <f t="shared" si="5"/>
        <v>0</v>
      </c>
      <c r="L7">
        <f t="shared" ref="L7" si="10">K7*$D7/$C7</f>
        <v>0</v>
      </c>
      <c r="M7">
        <f t="shared" si="6"/>
        <v>0</v>
      </c>
      <c r="N7" s="13">
        <f t="shared" si="8"/>
        <v>0</v>
      </c>
    </row>
    <row r="8" spans="1:14">
      <c r="A8" t="s">
        <v>9</v>
      </c>
      <c r="B8">
        <v>138.9</v>
      </c>
      <c r="C8" s="16">
        <v>3</v>
      </c>
      <c r="D8" s="16">
        <v>2</v>
      </c>
      <c r="E8">
        <f t="shared" si="0"/>
        <v>325.79700000000003</v>
      </c>
      <c r="F8" s="15"/>
      <c r="G8">
        <f t="shared" si="1"/>
        <v>0</v>
      </c>
      <c r="H8" s="10">
        <f t="shared" si="2"/>
        <v>0</v>
      </c>
      <c r="I8" s="4">
        <f t="shared" si="3"/>
        <v>0</v>
      </c>
      <c r="J8" s="4">
        <f t="shared" si="4"/>
        <v>0</v>
      </c>
      <c r="K8">
        <f t="shared" si="5"/>
        <v>0</v>
      </c>
      <c r="L8">
        <f t="shared" ref="L8" si="11">K8*$D8/$C8</f>
        <v>0</v>
      </c>
      <c r="M8">
        <f t="shared" si="6"/>
        <v>0</v>
      </c>
      <c r="N8" s="13">
        <f t="shared" si="8"/>
        <v>0</v>
      </c>
    </row>
    <row r="9" spans="1:14">
      <c r="A9" t="s">
        <v>10</v>
      </c>
      <c r="B9">
        <v>54.938000000000002</v>
      </c>
      <c r="C9" s="16">
        <v>1</v>
      </c>
      <c r="D9" s="16">
        <v>1</v>
      </c>
      <c r="E9">
        <f t="shared" si="0"/>
        <v>70.936999999999998</v>
      </c>
      <c r="F9" s="15"/>
      <c r="G9">
        <f t="shared" si="1"/>
        <v>0</v>
      </c>
      <c r="H9" s="10">
        <f t="shared" si="2"/>
        <v>0</v>
      </c>
      <c r="I9" s="4">
        <f t="shared" si="3"/>
        <v>0</v>
      </c>
      <c r="J9" s="4">
        <f t="shared" si="4"/>
        <v>0</v>
      </c>
      <c r="K9">
        <f t="shared" si="5"/>
        <v>0</v>
      </c>
      <c r="L9">
        <f t="shared" ref="L9" si="12">K9*$D9/$C9</f>
        <v>0</v>
      </c>
      <c r="M9">
        <f t="shared" si="6"/>
        <v>0</v>
      </c>
      <c r="N9" s="13">
        <f t="shared" si="8"/>
        <v>0</v>
      </c>
    </row>
    <row r="10" spans="1:14">
      <c r="A10" t="s">
        <v>11</v>
      </c>
      <c r="B10">
        <v>55.844999999999999</v>
      </c>
      <c r="C10" s="16">
        <v>1</v>
      </c>
      <c r="D10" s="16">
        <v>1</v>
      </c>
      <c r="E10">
        <f t="shared" si="0"/>
        <v>71.843999999999994</v>
      </c>
      <c r="F10" s="15"/>
      <c r="G10">
        <f t="shared" si="1"/>
        <v>0</v>
      </c>
      <c r="H10" s="10">
        <f t="shared" si="2"/>
        <v>0</v>
      </c>
      <c r="I10" s="4">
        <f t="shared" si="3"/>
        <v>0</v>
      </c>
      <c r="J10" s="4">
        <f t="shared" si="4"/>
        <v>0</v>
      </c>
      <c r="K10">
        <f t="shared" si="5"/>
        <v>0</v>
      </c>
      <c r="L10">
        <f t="shared" ref="L10" si="13">K10*$D10/$C10</f>
        <v>0</v>
      </c>
      <c r="M10">
        <f t="shared" si="6"/>
        <v>0</v>
      </c>
      <c r="N10" s="13">
        <f t="shared" si="8"/>
        <v>0</v>
      </c>
    </row>
    <row r="11" spans="1:14">
      <c r="C11" s="16"/>
      <c r="D11" s="16"/>
      <c r="F11" s="16"/>
      <c r="H11" s="10"/>
      <c r="I11" s="4"/>
      <c r="J11" s="4"/>
      <c r="L11" s="21">
        <f>SUM(L4:L10)</f>
        <v>9.7402584752911086</v>
      </c>
      <c r="N11" s="20">
        <f>SUM(N4:N10)</f>
        <v>10.000000000000002</v>
      </c>
    </row>
    <row r="12" spans="1:14">
      <c r="A12" t="s">
        <v>12</v>
      </c>
      <c r="B12">
        <v>30.972999999999999</v>
      </c>
      <c r="C12" s="16">
        <v>5</v>
      </c>
      <c r="D12" s="16">
        <v>2</v>
      </c>
      <c r="E12">
        <f>B12*D12+B$18*C12</f>
        <v>141.941</v>
      </c>
      <c r="F12" s="15">
        <v>3</v>
      </c>
      <c r="G12">
        <f>F12*E12</f>
        <v>425.82299999999998</v>
      </c>
      <c r="H12" s="10">
        <f>G12/G$22</f>
        <v>0.41602003638578783</v>
      </c>
      <c r="I12" s="4">
        <f>H12/E12</f>
        <v>2.9309363495099217E-3</v>
      </c>
      <c r="J12" s="4">
        <f>I12*C12</f>
        <v>1.4654681747549608E-2</v>
      </c>
      <c r="K12" s="7">
        <f>$J12*J$24</f>
        <v>14.610387712936658</v>
      </c>
      <c r="L12" s="7">
        <f t="shared" ref="L12" si="14">K12*$D12/$C12</f>
        <v>5.8441550851746635</v>
      </c>
      <c r="M12">
        <f>$J12*L$24</f>
        <v>14.999999999999998</v>
      </c>
      <c r="N12" s="13">
        <f t="shared" si="8"/>
        <v>5.9999999999999991</v>
      </c>
    </row>
    <row r="13" spans="1:14">
      <c r="A13" t="s">
        <v>13</v>
      </c>
      <c r="B13">
        <v>28.085000000000001</v>
      </c>
      <c r="C13" s="16">
        <v>2</v>
      </c>
      <c r="D13" s="16">
        <v>1</v>
      </c>
      <c r="E13">
        <f>B13*D13+B$18*C13</f>
        <v>60.082999999999998</v>
      </c>
      <c r="F13" s="15"/>
      <c r="G13">
        <f>F13*E13</f>
        <v>0</v>
      </c>
      <c r="H13" s="10">
        <f>G13/G$22</f>
        <v>0</v>
      </c>
      <c r="I13" s="4">
        <f>H13/E13</f>
        <v>0</v>
      </c>
      <c r="J13" s="4">
        <f>I13*C13</f>
        <v>0</v>
      </c>
      <c r="K13">
        <f>$J13*J$24</f>
        <v>0</v>
      </c>
      <c r="L13">
        <f t="shared" ref="L13" si="15">K13*$D13/$C13</f>
        <v>0</v>
      </c>
      <c r="M13">
        <f>$J13*L$24</f>
        <v>0</v>
      </c>
      <c r="N13" s="13">
        <f t="shared" si="8"/>
        <v>0</v>
      </c>
    </row>
    <row r="14" spans="1:14">
      <c r="C14" s="16"/>
      <c r="D14" s="16"/>
      <c r="F14" s="16"/>
      <c r="H14" s="10"/>
      <c r="I14" s="4"/>
      <c r="J14" s="4"/>
      <c r="L14" s="21">
        <f>SUM(L12:L13)</f>
        <v>5.8441550851746635</v>
      </c>
      <c r="N14" s="20">
        <f>SUM(N12:N13)</f>
        <v>5.9999999999999991</v>
      </c>
    </row>
    <row r="15" spans="1:14">
      <c r="A15" t="s">
        <v>14</v>
      </c>
      <c r="B15">
        <v>18.998000000000001</v>
      </c>
      <c r="C15" s="16"/>
      <c r="D15" s="16">
        <v>1</v>
      </c>
      <c r="E15">
        <f>B15*D15+B$18*C15</f>
        <v>18.998000000000001</v>
      </c>
      <c r="F15" s="15">
        <v>0.66666999999999998</v>
      </c>
      <c r="G15">
        <f>F15*E15</f>
        <v>12.665396660000001</v>
      </c>
      <c r="H15" s="10">
        <f>G15/G$22</f>
        <v>1.2373823817251854E-2</v>
      </c>
      <c r="I15" s="4">
        <f>H15/E15</f>
        <v>6.5132244537592654E-4</v>
      </c>
      <c r="J15" s="4">
        <f>I15</f>
        <v>6.5132244537592654E-4</v>
      </c>
      <c r="K15" s="7">
        <f>$J15*J$24</f>
        <v>0.64935381177223217</v>
      </c>
      <c r="L15" s="7">
        <f>K15</f>
        <v>0.64935381177223217</v>
      </c>
      <c r="M15">
        <f>$J15*L$24</f>
        <v>0.66666999999999998</v>
      </c>
      <c r="N15" s="13">
        <f>M15</f>
        <v>0.66666999999999998</v>
      </c>
    </row>
    <row r="16" spans="1:14">
      <c r="A16" t="s">
        <v>15</v>
      </c>
      <c r="B16">
        <v>35.450000000000003</v>
      </c>
      <c r="C16" s="16"/>
      <c r="D16" s="16">
        <v>1</v>
      </c>
      <c r="E16">
        <f>B16*D16+B$18*C16</f>
        <v>35.450000000000003</v>
      </c>
      <c r="F16" s="15">
        <v>0.66666999999999998</v>
      </c>
      <c r="G16">
        <f>F16*E16</f>
        <v>23.6334515</v>
      </c>
      <c r="H16" s="10">
        <f>G16/G$22</f>
        <v>2.3089380688576598E-2</v>
      </c>
      <c r="I16" s="4">
        <f>H16/E16</f>
        <v>6.5132244537592654E-4</v>
      </c>
      <c r="J16" s="4">
        <f>I16</f>
        <v>6.5132244537592654E-4</v>
      </c>
      <c r="K16" s="7">
        <f>$J16*J$24</f>
        <v>0.64935381177223217</v>
      </c>
      <c r="L16" s="7">
        <f>K16</f>
        <v>0.64935381177223217</v>
      </c>
      <c r="M16">
        <f>$J16*L$24</f>
        <v>0.66666999999999998</v>
      </c>
      <c r="N16" s="13">
        <f>M16</f>
        <v>0.66666999999999998</v>
      </c>
    </row>
    <row r="17" spans="1:14">
      <c r="A17" t="s">
        <v>27</v>
      </c>
      <c r="B17">
        <v>1.008</v>
      </c>
      <c r="C17" s="16">
        <v>1</v>
      </c>
      <c r="D17" s="16">
        <v>1</v>
      </c>
      <c r="E17">
        <f>B17*D17+B$18*C17</f>
        <v>17.007000000000001</v>
      </c>
      <c r="F17" s="17">
        <f>2-F15-F16</f>
        <v>0.66666000000000014</v>
      </c>
      <c r="G17">
        <f>F17*E17</f>
        <v>11.337886620000003</v>
      </c>
      <c r="H17" s="38">
        <f>G17/G$22</f>
        <v>1.1076874673726733E-2</v>
      </c>
      <c r="I17" s="4">
        <f>H17/E17</f>
        <v>6.5131267558809504E-4</v>
      </c>
      <c r="J17" s="4"/>
      <c r="M17">
        <f>2-M15-M16</f>
        <v>0.66666000000000014</v>
      </c>
      <c r="N17" s="13">
        <f>M17</f>
        <v>0.66666000000000014</v>
      </c>
    </row>
    <row r="18" spans="1:14">
      <c r="A18" s="29" t="s">
        <v>18</v>
      </c>
      <c r="B18" s="29">
        <v>15.999000000000001</v>
      </c>
      <c r="C18" s="29"/>
      <c r="D18" s="29"/>
      <c r="E18" s="29"/>
      <c r="F18" s="34"/>
      <c r="G18" s="29"/>
      <c r="H18" s="30"/>
      <c r="I18" s="29"/>
      <c r="J18" s="29"/>
      <c r="K18" s="29"/>
      <c r="L18" s="29"/>
      <c r="M18" s="29"/>
      <c r="N18" s="29"/>
    </row>
    <row r="19" spans="1:14" ht="16">
      <c r="E19" t="s">
        <v>41</v>
      </c>
      <c r="F19" s="16"/>
      <c r="H19" s="11">
        <f>SUM(H4:H16)</f>
        <v>0.99934363312984276</v>
      </c>
      <c r="I19" s="36" t="s">
        <v>46</v>
      </c>
      <c r="J19" s="6">
        <f>SUM(J4:J16)</f>
        <v>2.5727114470001203E-2</v>
      </c>
      <c r="K19" s="8"/>
      <c r="L19" s="6"/>
      <c r="M19" s="8">
        <f>SUM(M4:M17)</f>
        <v>27</v>
      </c>
    </row>
    <row r="20" spans="1:14">
      <c r="F20" s="3" t="s">
        <v>24</v>
      </c>
      <c r="G20">
        <f>-$B$18*$F15/2</f>
        <v>-5.3330266650000002</v>
      </c>
      <c r="H20">
        <f>H15*$B$18/(2*$E15)</f>
        <v>5.2102539017847248E-3</v>
      </c>
      <c r="J20" s="6">
        <f>J15/2</f>
        <v>3.2566122268796327E-4</v>
      </c>
      <c r="M20" s="6"/>
      <c r="N20" s="6"/>
    </row>
    <row r="21" spans="1:14">
      <c r="F21" s="3" t="s">
        <v>25</v>
      </c>
      <c r="G21">
        <f>-$B$18*$F16/2</f>
        <v>-5.3330266650000002</v>
      </c>
      <c r="H21">
        <f>H16*$B$18/(2*$E16)</f>
        <v>5.2102539017847248E-3</v>
      </c>
      <c r="J21" s="6">
        <f>J16/2</f>
        <v>3.2566122268796327E-4</v>
      </c>
    </row>
    <row r="22" spans="1:14" ht="16">
      <c r="E22" t="s">
        <v>42</v>
      </c>
      <c r="F22" s="16"/>
      <c r="G22">
        <f>SUM(G4:G21)</f>
        <v>1023.5636814500001</v>
      </c>
      <c r="H22" s="10">
        <f>H19-H20-H21</f>
        <v>0.98892312532627324</v>
      </c>
      <c r="I22" s="36" t="s">
        <v>47</v>
      </c>
      <c r="J22" s="6">
        <f>J19-J20-J21</f>
        <v>2.5075792024625277E-2</v>
      </c>
    </row>
    <row r="23" spans="1:14">
      <c r="I23" t="s">
        <v>26</v>
      </c>
      <c r="J23" t="s">
        <v>29</v>
      </c>
      <c r="K23" t="s">
        <v>34</v>
      </c>
      <c r="L23" t="s">
        <v>35</v>
      </c>
    </row>
    <row r="24" spans="1:14">
      <c r="I24" s="14">
        <v>25</v>
      </c>
      <c r="J24" s="2">
        <f>I24/$J22</f>
        <v>996.97748232435299</v>
      </c>
      <c r="K24" s="20">
        <f>26-((27-26*(J19/J22))/(1-0.5*J19/J22))/2</f>
        <v>25.66667</v>
      </c>
      <c r="L24" s="2">
        <f>K24/$J22</f>
        <v>1023.5636814500001</v>
      </c>
    </row>
    <row r="26" spans="1:14">
      <c r="M26" s="6"/>
      <c r="N26" s="2"/>
    </row>
    <row r="29" spans="1:14">
      <c r="K29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J21" sqref="J21"/>
    </sheetView>
  </sheetViews>
  <sheetFormatPr baseColWidth="10" defaultColWidth="8.83203125" defaultRowHeight="14" x14ac:dyDescent="0"/>
  <cols>
    <col min="1" max="1" width="7.1640625" customWidth="1"/>
    <col min="2" max="2" width="11.5" customWidth="1"/>
    <col min="3" max="4" width="6.6640625" customWidth="1"/>
    <col min="5" max="5" width="10.33203125" customWidth="1"/>
    <col min="6" max="6" width="13.1640625" customWidth="1"/>
    <col min="7" max="7" width="11.33203125" customWidth="1"/>
    <col min="10" max="10" width="11" customWidth="1"/>
    <col min="11" max="12" width="10.5" customWidth="1"/>
  </cols>
  <sheetData>
    <row r="1" spans="1:12">
      <c r="A1" s="1"/>
      <c r="B1" s="1" t="s">
        <v>20</v>
      </c>
      <c r="C1" s="1"/>
      <c r="D1" s="1"/>
      <c r="E1" s="1" t="s">
        <v>22</v>
      </c>
      <c r="F1" s="1" t="s">
        <v>30</v>
      </c>
      <c r="G1" s="1" t="s">
        <v>30</v>
      </c>
      <c r="H1" s="1" t="s">
        <v>30</v>
      </c>
      <c r="I1" s="1" t="s">
        <v>0</v>
      </c>
      <c r="J1" s="1" t="s">
        <v>16</v>
      </c>
      <c r="K1" s="9" t="s">
        <v>26</v>
      </c>
      <c r="L1" s="9" t="s">
        <v>32</v>
      </c>
    </row>
    <row r="2" spans="1:12">
      <c r="A2" s="28" t="s">
        <v>1</v>
      </c>
      <c r="B2" s="28" t="s">
        <v>21</v>
      </c>
      <c r="C2" s="28" t="s">
        <v>18</v>
      </c>
      <c r="D2" s="28" t="s">
        <v>19</v>
      </c>
      <c r="E2" s="28" t="s">
        <v>2</v>
      </c>
      <c r="F2" s="28" t="s">
        <v>23</v>
      </c>
      <c r="G2" s="28" t="s">
        <v>21</v>
      </c>
      <c r="H2" s="28" t="s">
        <v>31</v>
      </c>
      <c r="I2" s="28" t="s">
        <v>4</v>
      </c>
      <c r="J2" s="28" t="s">
        <v>17</v>
      </c>
      <c r="K2" s="28" t="s">
        <v>33</v>
      </c>
      <c r="L2" s="28" t="s">
        <v>33</v>
      </c>
    </row>
    <row r="3" spans="1:12">
      <c r="A3" t="s">
        <v>5</v>
      </c>
      <c r="B3">
        <v>40.078000000000003</v>
      </c>
      <c r="C3" s="16">
        <v>1</v>
      </c>
      <c r="D3" s="16">
        <v>1</v>
      </c>
      <c r="E3">
        <f t="shared" ref="E3:E9" si="0">B3*D3+B$17*C3</f>
        <v>56.077000000000005</v>
      </c>
      <c r="F3" s="32">
        <v>9</v>
      </c>
      <c r="G3">
        <f t="shared" ref="G3:G9" si="1">F3*E3</f>
        <v>504.69300000000004</v>
      </c>
      <c r="H3" s="10">
        <f t="shared" ref="H3:H9" si="2">G3/G$21</f>
        <v>0.488114260167687</v>
      </c>
      <c r="I3" s="4">
        <f t="shared" ref="I3:I9" si="3">H3/E3</f>
        <v>8.7043575827467044E-3</v>
      </c>
      <c r="J3" s="4">
        <f t="shared" ref="J3:J9" si="4">I3*C3</f>
        <v>8.7043575827467044E-3</v>
      </c>
      <c r="K3">
        <f t="shared" ref="K3:K9" si="5">$J3*J$21</f>
        <v>9.0000000000000018</v>
      </c>
      <c r="L3" s="13">
        <f>K3*$D3/$C3</f>
        <v>9.0000000000000018</v>
      </c>
    </row>
    <row r="4" spans="1:12">
      <c r="A4" t="s">
        <v>6</v>
      </c>
      <c r="B4">
        <v>87.62</v>
      </c>
      <c r="C4" s="16">
        <v>1</v>
      </c>
      <c r="D4" s="16">
        <v>1</v>
      </c>
      <c r="E4">
        <f t="shared" si="0"/>
        <v>103.619</v>
      </c>
      <c r="F4" s="15"/>
      <c r="G4">
        <f t="shared" si="1"/>
        <v>0</v>
      </c>
      <c r="H4" s="10">
        <f t="shared" si="2"/>
        <v>0</v>
      </c>
      <c r="I4" s="4">
        <f t="shared" si="3"/>
        <v>0</v>
      </c>
      <c r="J4" s="4">
        <f t="shared" si="4"/>
        <v>0</v>
      </c>
      <c r="K4">
        <f t="shared" si="5"/>
        <v>0</v>
      </c>
      <c r="L4" s="13">
        <f t="shared" ref="L4:L9" si="6">K4*$D4/$C4</f>
        <v>0</v>
      </c>
    </row>
    <row r="5" spans="1:12">
      <c r="A5" t="s">
        <v>7</v>
      </c>
      <c r="B5">
        <v>22.989000000000001</v>
      </c>
      <c r="C5" s="16">
        <v>1</v>
      </c>
      <c r="D5" s="16">
        <v>2</v>
      </c>
      <c r="E5">
        <f t="shared" si="0"/>
        <v>61.977000000000004</v>
      </c>
      <c r="F5" s="15"/>
      <c r="G5">
        <f t="shared" si="1"/>
        <v>0</v>
      </c>
      <c r="H5" s="10">
        <f t="shared" si="2"/>
        <v>0</v>
      </c>
      <c r="I5" s="4">
        <f t="shared" si="3"/>
        <v>0</v>
      </c>
      <c r="J5" s="4">
        <f t="shared" si="4"/>
        <v>0</v>
      </c>
      <c r="K5">
        <f t="shared" si="5"/>
        <v>0</v>
      </c>
      <c r="L5" s="13">
        <f t="shared" si="6"/>
        <v>0</v>
      </c>
    </row>
    <row r="6" spans="1:12">
      <c r="A6" t="s">
        <v>8</v>
      </c>
      <c r="B6">
        <v>140.11600000000001</v>
      </c>
      <c r="C6" s="16">
        <v>3</v>
      </c>
      <c r="D6" s="16">
        <v>2</v>
      </c>
      <c r="E6">
        <f t="shared" si="0"/>
        <v>328.22900000000004</v>
      </c>
      <c r="F6" s="15"/>
      <c r="G6">
        <f t="shared" si="1"/>
        <v>0</v>
      </c>
      <c r="H6" s="10">
        <f t="shared" si="2"/>
        <v>0</v>
      </c>
      <c r="I6" s="4">
        <f t="shared" si="3"/>
        <v>0</v>
      </c>
      <c r="J6" s="4">
        <f t="shared" si="4"/>
        <v>0</v>
      </c>
      <c r="K6">
        <f t="shared" si="5"/>
        <v>0</v>
      </c>
      <c r="L6" s="13">
        <f t="shared" si="6"/>
        <v>0</v>
      </c>
    </row>
    <row r="7" spans="1:12">
      <c r="A7" t="s">
        <v>9</v>
      </c>
      <c r="B7">
        <v>138.9</v>
      </c>
      <c r="C7" s="16">
        <v>3</v>
      </c>
      <c r="D7" s="16">
        <v>2</v>
      </c>
      <c r="E7">
        <f t="shared" si="0"/>
        <v>325.79700000000003</v>
      </c>
      <c r="F7" s="15"/>
      <c r="G7">
        <f t="shared" si="1"/>
        <v>0</v>
      </c>
      <c r="H7" s="10">
        <f t="shared" si="2"/>
        <v>0</v>
      </c>
      <c r="I7" s="4">
        <f t="shared" si="3"/>
        <v>0</v>
      </c>
      <c r="J7" s="4">
        <f t="shared" si="4"/>
        <v>0</v>
      </c>
      <c r="K7">
        <f t="shared" si="5"/>
        <v>0</v>
      </c>
      <c r="L7" s="13">
        <f t="shared" si="6"/>
        <v>0</v>
      </c>
    </row>
    <row r="8" spans="1:12">
      <c r="A8" t="s">
        <v>10</v>
      </c>
      <c r="B8">
        <v>54.938000000000002</v>
      </c>
      <c r="C8" s="16">
        <v>1</v>
      </c>
      <c r="D8" s="16">
        <v>1</v>
      </c>
      <c r="E8">
        <f t="shared" si="0"/>
        <v>70.936999999999998</v>
      </c>
      <c r="F8" s="15">
        <v>1</v>
      </c>
      <c r="G8">
        <f t="shared" si="1"/>
        <v>70.936999999999998</v>
      </c>
      <c r="H8" s="10">
        <f t="shared" si="2"/>
        <v>6.8606779316366995E-2</v>
      </c>
      <c r="I8" s="4">
        <f t="shared" si="3"/>
        <v>9.6715084252741162E-4</v>
      </c>
      <c r="J8" s="4">
        <f t="shared" si="4"/>
        <v>9.6715084252741162E-4</v>
      </c>
      <c r="K8">
        <f t="shared" si="5"/>
        <v>1.0000000000000002</v>
      </c>
      <c r="L8" s="13">
        <f t="shared" si="6"/>
        <v>1.0000000000000002</v>
      </c>
    </row>
    <row r="9" spans="1:12">
      <c r="A9" t="s">
        <v>11</v>
      </c>
      <c r="B9">
        <v>55.844999999999999</v>
      </c>
      <c r="C9" s="16">
        <v>1</v>
      </c>
      <c r="D9" s="16">
        <v>1</v>
      </c>
      <c r="E9">
        <f t="shared" si="0"/>
        <v>71.843999999999994</v>
      </c>
      <c r="F9" s="15"/>
      <c r="G9">
        <f t="shared" si="1"/>
        <v>0</v>
      </c>
      <c r="H9" s="10">
        <f t="shared" si="2"/>
        <v>0</v>
      </c>
      <c r="I9" s="4">
        <f t="shared" si="3"/>
        <v>0</v>
      </c>
      <c r="J9" s="4">
        <f t="shared" si="4"/>
        <v>0</v>
      </c>
      <c r="K9">
        <f t="shared" si="5"/>
        <v>0</v>
      </c>
      <c r="L9" s="13">
        <f t="shared" si="6"/>
        <v>0</v>
      </c>
    </row>
    <row r="10" spans="1:12">
      <c r="C10" s="16"/>
      <c r="D10" s="16"/>
      <c r="F10" s="16"/>
      <c r="H10" s="10"/>
      <c r="I10" s="4"/>
      <c r="J10" s="4"/>
      <c r="L10" s="37">
        <f>SUM(L3:L9)</f>
        <v>10.000000000000002</v>
      </c>
    </row>
    <row r="11" spans="1:12">
      <c r="A11" t="s">
        <v>12</v>
      </c>
      <c r="B11">
        <v>30.972999999999999</v>
      </c>
      <c r="C11" s="16">
        <v>5</v>
      </c>
      <c r="D11" s="16">
        <v>2</v>
      </c>
      <c r="E11">
        <f>B11*D11+B$17*C11</f>
        <v>141.941</v>
      </c>
      <c r="F11" s="15">
        <v>3</v>
      </c>
      <c r="G11">
        <f>F11*E11</f>
        <v>425.82299999999998</v>
      </c>
      <c r="H11" s="10">
        <f>G11/G$21</f>
        <v>0.41183507321754997</v>
      </c>
      <c r="I11" s="4">
        <f>H11/E11</f>
        <v>2.9014525275822345E-3</v>
      </c>
      <c r="J11" s="4">
        <f>I11*C11</f>
        <v>1.4507262637911172E-2</v>
      </c>
      <c r="K11">
        <f>$J11*J$21</f>
        <v>15</v>
      </c>
      <c r="L11" s="13">
        <f t="shared" ref="L11:L12" si="7">K11*$D11/$C11</f>
        <v>6</v>
      </c>
    </row>
    <row r="12" spans="1:12">
      <c r="A12" t="s">
        <v>13</v>
      </c>
      <c r="B12">
        <v>28.085000000000001</v>
      </c>
      <c r="C12" s="16">
        <v>2</v>
      </c>
      <c r="D12" s="16">
        <v>1</v>
      </c>
      <c r="E12">
        <f>B12*D12+B$17*C12</f>
        <v>60.082999999999998</v>
      </c>
      <c r="F12" s="15"/>
      <c r="G12">
        <f>F12*E12</f>
        <v>0</v>
      </c>
      <c r="H12" s="10">
        <f>G12/G$21</f>
        <v>0</v>
      </c>
      <c r="I12" s="4">
        <f>H12/E12</f>
        <v>0</v>
      </c>
      <c r="J12" s="4">
        <f>I12*C12</f>
        <v>0</v>
      </c>
      <c r="K12">
        <f>$J12*J$21</f>
        <v>0</v>
      </c>
      <c r="L12" s="13">
        <f t="shared" si="7"/>
        <v>0</v>
      </c>
    </row>
    <row r="13" spans="1:12">
      <c r="C13" s="16"/>
      <c r="D13" s="16"/>
      <c r="F13" s="16"/>
      <c r="H13" s="10"/>
      <c r="I13" s="4"/>
      <c r="J13" s="4"/>
      <c r="L13" s="37">
        <f>SUM(L11:L12)</f>
        <v>6</v>
      </c>
    </row>
    <row r="14" spans="1:12">
      <c r="A14" t="s">
        <v>14</v>
      </c>
      <c r="B14">
        <v>18.998000000000001</v>
      </c>
      <c r="C14" s="16"/>
      <c r="D14" s="16">
        <v>1</v>
      </c>
      <c r="E14">
        <f>B14*D14+B$17*C14</f>
        <v>18.998000000000001</v>
      </c>
      <c r="F14" s="15">
        <v>0.25</v>
      </c>
      <c r="G14">
        <f>F14*E14</f>
        <v>4.7495000000000003</v>
      </c>
      <c r="H14" s="10">
        <f>G14/G$21</f>
        <v>4.5934829265839418E-3</v>
      </c>
      <c r="I14" s="4">
        <f>H14/E14</f>
        <v>2.417877106318529E-4</v>
      </c>
      <c r="J14" s="4">
        <f>I14</f>
        <v>2.417877106318529E-4</v>
      </c>
      <c r="K14" s="5">
        <f>$J14*J$21</f>
        <v>0.25000000000000006</v>
      </c>
      <c r="L14" s="13">
        <f>K14</f>
        <v>0.25000000000000006</v>
      </c>
    </row>
    <row r="15" spans="1:12">
      <c r="A15" t="s">
        <v>15</v>
      </c>
      <c r="B15">
        <v>35.450000000000003</v>
      </c>
      <c r="C15" s="16"/>
      <c r="D15" s="16">
        <v>1</v>
      </c>
      <c r="E15">
        <f>B15*D15+B$17*C15</f>
        <v>35.450000000000003</v>
      </c>
      <c r="F15" s="15">
        <v>0</v>
      </c>
      <c r="G15">
        <f>F15*E15</f>
        <v>0</v>
      </c>
      <c r="H15" s="10">
        <f>G15/G$21</f>
        <v>0</v>
      </c>
      <c r="I15" s="4">
        <f>H15/E15</f>
        <v>0</v>
      </c>
      <c r="J15" s="4">
        <f>I15</f>
        <v>0</v>
      </c>
      <c r="K15">
        <f>$J15*J$21</f>
        <v>0</v>
      </c>
      <c r="L15" s="13">
        <f>K15</f>
        <v>0</v>
      </c>
    </row>
    <row r="16" spans="1:12">
      <c r="A16" t="s">
        <v>27</v>
      </c>
      <c r="B16">
        <v>1.008</v>
      </c>
      <c r="C16" s="16">
        <v>1</v>
      </c>
      <c r="D16" s="16">
        <v>1</v>
      </c>
      <c r="E16">
        <f>B16*D16+B$17*C16</f>
        <v>17.007000000000001</v>
      </c>
      <c r="F16" s="17">
        <f>2-F14-F15</f>
        <v>1.75</v>
      </c>
      <c r="G16">
        <f>F16*E16</f>
        <v>29.762250000000002</v>
      </c>
      <c r="H16" s="38">
        <f>G16/G$21</f>
        <v>2.878458516301146E-2</v>
      </c>
      <c r="I16" s="4"/>
      <c r="J16" s="4"/>
      <c r="K16">
        <f>2-K14-K15</f>
        <v>1.75</v>
      </c>
      <c r="L16" s="13">
        <f>K16</f>
        <v>1.75</v>
      </c>
    </row>
    <row r="17" spans="1:12">
      <c r="A17" s="29" t="s">
        <v>18</v>
      </c>
      <c r="B17" s="29">
        <v>15.999000000000001</v>
      </c>
      <c r="C17" s="29"/>
      <c r="D17" s="29"/>
      <c r="E17" s="29"/>
      <c r="F17" s="34"/>
      <c r="G17" s="29"/>
      <c r="H17" s="30"/>
      <c r="I17" s="29"/>
      <c r="J17" s="29"/>
      <c r="K17" s="29"/>
      <c r="L17" s="29"/>
    </row>
    <row r="18" spans="1:12" ht="16">
      <c r="E18" t="s">
        <v>41</v>
      </c>
      <c r="F18" s="16"/>
      <c r="H18" s="11">
        <f>SUM(H3:H15)</f>
        <v>0.97314959562818792</v>
      </c>
      <c r="I18" s="36" t="s">
        <v>48</v>
      </c>
      <c r="J18" s="6">
        <f>SUM(J3:J13)</f>
        <v>2.4178771063185289E-2</v>
      </c>
      <c r="K18" s="8"/>
      <c r="L18" s="6"/>
    </row>
    <row r="19" spans="1:12">
      <c r="F19" s="3" t="s">
        <v>24</v>
      </c>
      <c r="G19">
        <f>-$B$17*$F14/2</f>
        <v>-1.9998750000000001</v>
      </c>
      <c r="H19">
        <f>H14*$B$17/(2*$E14)</f>
        <v>1.9341807911995074E-3</v>
      </c>
      <c r="J19" s="6"/>
    </row>
    <row r="20" spans="1:12">
      <c r="F20" s="3" t="s">
        <v>25</v>
      </c>
      <c r="G20">
        <f>-$B$17*$F15/2</f>
        <v>0</v>
      </c>
      <c r="H20">
        <f>H15*$B$17/(2*$E15)</f>
        <v>0</v>
      </c>
      <c r="J20" t="s">
        <v>29</v>
      </c>
    </row>
    <row r="21" spans="1:12">
      <c r="E21" t="s">
        <v>42</v>
      </c>
      <c r="F21" s="16"/>
      <c r="G21">
        <f>SUM(G3:G20)</f>
        <v>1033.9648750000001</v>
      </c>
      <c r="H21" s="10">
        <f>H18-H19-H20</f>
        <v>0.97121541483698837</v>
      </c>
      <c r="J21" s="2">
        <f>25/J18</f>
        <v>1033.9648750000003</v>
      </c>
    </row>
    <row r="23" spans="1:12">
      <c r="K23" s="8"/>
      <c r="L23" s="2"/>
    </row>
    <row r="28" spans="1:12">
      <c r="K28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P9" sqref="P9"/>
    </sheetView>
  </sheetViews>
  <sheetFormatPr baseColWidth="10" defaultColWidth="8.83203125" defaultRowHeight="14" x14ac:dyDescent="0"/>
  <cols>
    <col min="1" max="1" width="7.5" customWidth="1"/>
    <col min="2" max="2" width="10.6640625" customWidth="1"/>
    <col min="3" max="4" width="6.6640625" customWidth="1"/>
    <col min="5" max="5" width="12.33203125" customWidth="1"/>
    <col min="6" max="6" width="10" customWidth="1"/>
    <col min="7" max="7" width="9.83203125" customWidth="1"/>
    <col min="8" max="9" width="10.5" customWidth="1"/>
    <col min="12" max="12" width="8" customWidth="1"/>
  </cols>
  <sheetData>
    <row r="1" spans="1:12" ht="17">
      <c r="A1" s="35" t="s">
        <v>45</v>
      </c>
    </row>
    <row r="2" spans="1:12">
      <c r="A2" s="1"/>
      <c r="B2" s="1" t="s">
        <v>20</v>
      </c>
      <c r="C2" s="1"/>
      <c r="D2" s="1"/>
      <c r="E2" s="1" t="s">
        <v>22</v>
      </c>
      <c r="F2" s="1" t="s">
        <v>36</v>
      </c>
      <c r="G2" s="1" t="s">
        <v>0</v>
      </c>
      <c r="H2" s="1" t="s">
        <v>16</v>
      </c>
      <c r="I2" s="9" t="s">
        <v>26</v>
      </c>
      <c r="J2" s="9" t="s">
        <v>32</v>
      </c>
      <c r="L2" s="9" t="s">
        <v>68</v>
      </c>
    </row>
    <row r="3" spans="1:12">
      <c r="A3" s="28" t="s">
        <v>1</v>
      </c>
      <c r="B3" s="28" t="s">
        <v>21</v>
      </c>
      <c r="C3" s="28" t="s">
        <v>18</v>
      </c>
      <c r="D3" s="28" t="s">
        <v>19</v>
      </c>
      <c r="E3" s="28" t="s">
        <v>2</v>
      </c>
      <c r="F3" s="28" t="s">
        <v>31</v>
      </c>
      <c r="G3" s="28" t="s">
        <v>4</v>
      </c>
      <c r="H3" s="28" t="s">
        <v>17</v>
      </c>
      <c r="I3" s="28" t="s">
        <v>33</v>
      </c>
      <c r="J3" s="28" t="s">
        <v>33</v>
      </c>
      <c r="L3" s="41" t="s">
        <v>69</v>
      </c>
    </row>
    <row r="4" spans="1:12">
      <c r="A4" t="s">
        <v>5</v>
      </c>
      <c r="B4">
        <v>40.078000000000003</v>
      </c>
      <c r="C4" s="16">
        <v>1</v>
      </c>
      <c r="D4" s="16">
        <v>1</v>
      </c>
      <c r="E4">
        <f t="shared" ref="E4:E10" si="0">B4*D4+B$18*C4</f>
        <v>56.077000000000005</v>
      </c>
      <c r="F4" s="25">
        <v>55.13</v>
      </c>
      <c r="G4" s="23">
        <f t="shared" ref="G4:G10" si="1">F4/E4</f>
        <v>0.98311250601851019</v>
      </c>
      <c r="H4" s="23">
        <f t="shared" ref="H4:H10" si="2">G4*C4</f>
        <v>0.98311250601851019</v>
      </c>
      <c r="I4" s="8">
        <f t="shared" ref="I4:I10" si="3">$H4*I$23</f>
        <v>9.898141112948279</v>
      </c>
      <c r="J4" s="27">
        <f t="shared" ref="J4:J10" si="4">I4*$D4/$C4</f>
        <v>9.898141112948279</v>
      </c>
      <c r="L4" s="2">
        <f>J4*E4/D4</f>
        <v>555.05805919080069</v>
      </c>
    </row>
    <row r="5" spans="1:12">
      <c r="A5" t="s">
        <v>6</v>
      </c>
      <c r="B5">
        <v>87.62</v>
      </c>
      <c r="C5" s="16">
        <v>1</v>
      </c>
      <c r="D5" s="16">
        <v>1</v>
      </c>
      <c r="E5">
        <f t="shared" si="0"/>
        <v>103.619</v>
      </c>
      <c r="F5" s="18">
        <v>0.03</v>
      </c>
      <c r="G5" s="23">
        <f t="shared" si="1"/>
        <v>2.8952219187600728E-4</v>
      </c>
      <c r="H5" s="23">
        <f t="shared" si="2"/>
        <v>2.8952219187600728E-4</v>
      </c>
      <c r="I5" s="8">
        <f t="shared" si="3"/>
        <v>2.9149578435581931E-3</v>
      </c>
      <c r="J5" s="19">
        <f t="shared" si="4"/>
        <v>2.9149578435581931E-3</v>
      </c>
      <c r="L5" s="2">
        <f t="shared" ref="L5:L17" si="5">J5*E5/D5</f>
        <v>0.30204501679165641</v>
      </c>
    </row>
    <row r="6" spans="1:12">
      <c r="A6" t="s">
        <v>7</v>
      </c>
      <c r="B6">
        <v>22.989000000000001</v>
      </c>
      <c r="C6" s="16">
        <v>1</v>
      </c>
      <c r="D6" s="16">
        <v>2</v>
      </c>
      <c r="E6">
        <f t="shared" si="0"/>
        <v>61.977000000000004</v>
      </c>
      <c r="F6" s="18">
        <v>0.03</v>
      </c>
      <c r="G6" s="23">
        <f t="shared" si="1"/>
        <v>4.8405053487584097E-4</v>
      </c>
      <c r="H6" s="23">
        <f t="shared" si="2"/>
        <v>4.8405053487584097E-4</v>
      </c>
      <c r="I6" s="8">
        <f t="shared" si="3"/>
        <v>4.8735017311527891E-3</v>
      </c>
      <c r="J6" s="19">
        <f t="shared" si="4"/>
        <v>9.7470034623055781E-3</v>
      </c>
      <c r="L6" s="2">
        <f t="shared" si="5"/>
        <v>0.30204501679165641</v>
      </c>
    </row>
    <row r="7" spans="1:12">
      <c r="A7" t="s">
        <v>8</v>
      </c>
      <c r="B7">
        <v>140.11600000000001</v>
      </c>
      <c r="C7" s="16">
        <v>3</v>
      </c>
      <c r="D7" s="16">
        <v>2</v>
      </c>
      <c r="E7">
        <f t="shared" si="0"/>
        <v>328.22900000000004</v>
      </c>
      <c r="F7" s="18">
        <v>0.05</v>
      </c>
      <c r="G7" s="23">
        <f t="shared" si="1"/>
        <v>1.5233267017844248E-4</v>
      </c>
      <c r="H7" s="23">
        <f t="shared" si="2"/>
        <v>4.569980105353274E-4</v>
      </c>
      <c r="I7" s="8">
        <f t="shared" si="3"/>
        <v>4.6011323921965512E-3</v>
      </c>
      <c r="J7" s="19">
        <f t="shared" si="4"/>
        <v>3.067421594797701E-3</v>
      </c>
      <c r="L7" s="2">
        <f t="shared" si="5"/>
        <v>0.50340836131942734</v>
      </c>
    </row>
    <row r="8" spans="1:12">
      <c r="A8" t="s">
        <v>9</v>
      </c>
      <c r="B8">
        <v>138.9</v>
      </c>
      <c r="C8" s="16">
        <v>3</v>
      </c>
      <c r="D8" s="16">
        <v>2</v>
      </c>
      <c r="E8">
        <f t="shared" si="0"/>
        <v>325.79700000000003</v>
      </c>
      <c r="F8" s="18">
        <v>0</v>
      </c>
      <c r="G8" s="23">
        <f t="shared" si="1"/>
        <v>0</v>
      </c>
      <c r="H8" s="23">
        <f t="shared" si="2"/>
        <v>0</v>
      </c>
      <c r="I8" s="8">
        <f t="shared" si="3"/>
        <v>0</v>
      </c>
      <c r="J8" s="19">
        <f t="shared" si="4"/>
        <v>0</v>
      </c>
      <c r="L8" s="2">
        <f t="shared" si="5"/>
        <v>0</v>
      </c>
    </row>
    <row r="9" spans="1:12">
      <c r="A9" t="s">
        <v>10</v>
      </c>
      <c r="B9">
        <v>54.938000000000002</v>
      </c>
      <c r="C9" s="16">
        <v>1</v>
      </c>
      <c r="D9" s="16">
        <v>1</v>
      </c>
      <c r="E9">
        <f t="shared" si="0"/>
        <v>70.936999999999998</v>
      </c>
      <c r="F9" s="18">
        <v>0.05</v>
      </c>
      <c r="G9" s="23">
        <f t="shared" si="1"/>
        <v>7.0485078308922013E-4</v>
      </c>
      <c r="H9" s="23">
        <f t="shared" si="2"/>
        <v>7.0485078308922013E-4</v>
      </c>
      <c r="I9" s="8">
        <f t="shared" si="3"/>
        <v>7.0965555537931893E-3</v>
      </c>
      <c r="J9" s="19">
        <f t="shared" si="4"/>
        <v>7.0965555537931893E-3</v>
      </c>
      <c r="L9" s="2">
        <f t="shared" si="5"/>
        <v>0.50340836131942746</v>
      </c>
    </row>
    <row r="10" spans="1:12">
      <c r="A10" t="s">
        <v>11</v>
      </c>
      <c r="B10">
        <v>55.844999999999999</v>
      </c>
      <c r="C10" s="16">
        <v>1</v>
      </c>
      <c r="D10" s="16">
        <v>1</v>
      </c>
      <c r="E10">
        <f t="shared" si="0"/>
        <v>71.843999999999994</v>
      </c>
      <c r="F10" s="18">
        <v>0.02</v>
      </c>
      <c r="G10" s="23">
        <f t="shared" si="1"/>
        <v>2.7838093647347033E-4</v>
      </c>
      <c r="H10" s="23">
        <f t="shared" si="2"/>
        <v>2.7838093647347033E-4</v>
      </c>
      <c r="I10" s="8">
        <f t="shared" si="3"/>
        <v>2.8027858210535462E-3</v>
      </c>
      <c r="J10" s="19">
        <f t="shared" si="4"/>
        <v>2.8027858210535462E-3</v>
      </c>
      <c r="L10" s="2">
        <f t="shared" si="5"/>
        <v>0.20136334452777097</v>
      </c>
    </row>
    <row r="11" spans="1:12">
      <c r="C11" s="16"/>
      <c r="D11" s="16"/>
      <c r="F11" s="12"/>
      <c r="G11" s="23"/>
      <c r="H11" s="23"/>
      <c r="I11" s="22" t="s">
        <v>39</v>
      </c>
      <c r="J11" s="20">
        <f>SUM(J4:J10)</f>
        <v>9.9237698372237872</v>
      </c>
      <c r="L11" s="2"/>
    </row>
    <row r="12" spans="1:12">
      <c r="A12" t="s">
        <v>12</v>
      </c>
      <c r="B12">
        <v>30.972999999999999</v>
      </c>
      <c r="C12" s="16">
        <v>5</v>
      </c>
      <c r="D12" s="16">
        <v>2</v>
      </c>
      <c r="E12">
        <f>B12*D12+B$18*C12</f>
        <v>141.941</v>
      </c>
      <c r="F12" s="18">
        <v>42.49</v>
      </c>
      <c r="G12" s="23">
        <f>F12/E12</f>
        <v>0.2993497298173185</v>
      </c>
      <c r="H12" s="23">
        <f>G12*C12</f>
        <v>1.4967486490865924</v>
      </c>
      <c r="I12" s="8">
        <f>$H12*I$23</f>
        <v>15.069515694874964</v>
      </c>
      <c r="J12" s="19">
        <f>I12*$D12/$C12</f>
        <v>6.0278062779499857</v>
      </c>
      <c r="L12" s="2">
        <f t="shared" si="5"/>
        <v>427.79642544924945</v>
      </c>
    </row>
    <row r="13" spans="1:12">
      <c r="A13" t="s">
        <v>13</v>
      </c>
      <c r="B13">
        <v>28.085000000000001</v>
      </c>
      <c r="C13" s="16">
        <v>2</v>
      </c>
      <c r="D13" s="16">
        <v>1</v>
      </c>
      <c r="E13">
        <f>B13*D13+B$18*C13</f>
        <v>60.082999999999998</v>
      </c>
      <c r="F13" s="18">
        <v>0.03</v>
      </c>
      <c r="G13" s="23">
        <f>F13/E13</f>
        <v>4.993092888171363E-4</v>
      </c>
      <c r="H13" s="23">
        <f>G13*C13</f>
        <v>9.9861857763427261E-4</v>
      </c>
      <c r="I13" s="8">
        <f>$H13*I$23</f>
        <v>1.0054258835000131E-2</v>
      </c>
      <c r="J13" s="19">
        <f>I13*$D13/$C13</f>
        <v>5.0271294175000657E-3</v>
      </c>
      <c r="L13" s="2">
        <f t="shared" si="5"/>
        <v>0.30204501679165646</v>
      </c>
    </row>
    <row r="14" spans="1:12">
      <c r="C14" s="16"/>
      <c r="D14" s="16"/>
      <c r="F14" s="12"/>
      <c r="G14" s="23"/>
      <c r="H14" s="23"/>
      <c r="I14" s="22" t="s">
        <v>39</v>
      </c>
      <c r="J14" s="20">
        <f>SUM(J12:J13)</f>
        <v>6.0328334073674856</v>
      </c>
      <c r="L14" s="2"/>
    </row>
    <row r="15" spans="1:12">
      <c r="A15" t="s">
        <v>14</v>
      </c>
      <c r="B15">
        <v>18.998000000000001</v>
      </c>
      <c r="C15" s="16"/>
      <c r="D15" s="16">
        <v>1</v>
      </c>
      <c r="E15">
        <f>B15*D15+B$18*C15</f>
        <v>18.998000000000001</v>
      </c>
      <c r="F15" s="18">
        <v>0.12</v>
      </c>
      <c r="G15" s="23">
        <f>F15/E15</f>
        <v>6.3164543636172223E-3</v>
      </c>
      <c r="H15" s="23">
        <f>G15</f>
        <v>6.3164543636172223E-3</v>
      </c>
      <c r="I15" s="8">
        <f>$H15*I$23</f>
        <v>6.3595118810749848E-2</v>
      </c>
      <c r="J15" s="19">
        <f>I15</f>
        <v>6.3595118810749848E-2</v>
      </c>
      <c r="L15" s="2">
        <f t="shared" si="5"/>
        <v>1.2081800671666256</v>
      </c>
    </row>
    <row r="16" spans="1:12">
      <c r="A16" t="s">
        <v>15</v>
      </c>
      <c r="B16">
        <v>35.450000000000003</v>
      </c>
      <c r="C16" s="16"/>
      <c r="D16" s="16">
        <v>1</v>
      </c>
      <c r="E16">
        <f>B16*D16+B$18*C16</f>
        <v>35.450000000000003</v>
      </c>
      <c r="F16" s="18">
        <v>0.35</v>
      </c>
      <c r="G16" s="23">
        <f>F16/E16</f>
        <v>9.8730606488011269E-3</v>
      </c>
      <c r="H16" s="23">
        <f>G16</f>
        <v>9.8730606488011269E-3</v>
      </c>
      <c r="I16" s="8">
        <f>$H16*I$23</f>
        <v>9.9403625648405963E-2</v>
      </c>
      <c r="J16" s="19">
        <f>I16</f>
        <v>9.9403625648405963E-2</v>
      </c>
      <c r="L16" s="2">
        <f t="shared" si="5"/>
        <v>3.5238585292359916</v>
      </c>
    </row>
    <row r="17" spans="1:12">
      <c r="A17" t="s">
        <v>27</v>
      </c>
      <c r="B17">
        <v>1.008</v>
      </c>
      <c r="C17" s="16">
        <v>1</v>
      </c>
      <c r="D17" s="16">
        <v>1</v>
      </c>
      <c r="E17">
        <f>B17*D17+B$18*C17</f>
        <v>17.007000000000001</v>
      </c>
      <c r="F17" s="10"/>
      <c r="G17" s="4"/>
      <c r="H17" s="4"/>
      <c r="I17" s="8"/>
      <c r="J17" s="19">
        <f>2-J15-J16</f>
        <v>1.8370012555408444</v>
      </c>
      <c r="L17" s="2">
        <f t="shared" si="5"/>
        <v>31.241880352983141</v>
      </c>
    </row>
    <row r="18" spans="1:12">
      <c r="A18" s="29" t="s">
        <v>18</v>
      </c>
      <c r="B18" s="29">
        <v>15.999000000000001</v>
      </c>
      <c r="C18" s="29"/>
      <c r="D18" s="29"/>
      <c r="E18" s="29"/>
      <c r="F18" s="30"/>
      <c r="G18" s="29"/>
      <c r="H18" s="29"/>
      <c r="I18" s="29"/>
      <c r="J18" s="29"/>
    </row>
    <row r="19" spans="1:12">
      <c r="D19" t="s">
        <v>38</v>
      </c>
      <c r="F19" s="2">
        <f>SUM(F4:F16)</f>
        <v>98.300000000000011</v>
      </c>
      <c r="G19" s="6"/>
      <c r="H19" s="7">
        <f>SUM(H4:H16)</f>
        <v>2.4992630911520055</v>
      </c>
      <c r="I19" s="8">
        <f>SUM(I4:I16)</f>
        <v>25.162998744459152</v>
      </c>
      <c r="J19" s="6"/>
    </row>
    <row r="20" spans="1:12">
      <c r="E20" s="3" t="s">
        <v>24</v>
      </c>
      <c r="F20" s="2">
        <f>F15*$B$18/(2*$E15)</f>
        <v>5.0528476681755974E-2</v>
      </c>
      <c r="H20" s="7">
        <f>H15/2</f>
        <v>3.1582271818086111E-3</v>
      </c>
      <c r="I20" s="8"/>
    </row>
    <row r="21" spans="1:12">
      <c r="E21" s="3" t="s">
        <v>25</v>
      </c>
      <c r="F21" s="2">
        <f>F16*$B$18/(2*$E16)</f>
        <v>7.8979548660084609E-2</v>
      </c>
      <c r="H21" s="7">
        <f>H16/2</f>
        <v>4.9365303244005634E-3</v>
      </c>
      <c r="I21" s="8"/>
    </row>
    <row r="22" spans="1:12">
      <c r="D22" t="s">
        <v>37</v>
      </c>
      <c r="F22" s="12">
        <f>F19-F20-F21</f>
        <v>98.170491974658162</v>
      </c>
      <c r="H22" s="7">
        <f>H19-H20-H21</f>
        <v>2.4911683336457964</v>
      </c>
      <c r="I22" s="8"/>
    </row>
    <row r="23" spans="1:12">
      <c r="E23" s="3" t="s">
        <v>67</v>
      </c>
      <c r="F23" s="19">
        <f>100*L17/SUM(L4:L17)</f>
        <v>3.060101196720511</v>
      </c>
      <c r="H23" t="s">
        <v>29</v>
      </c>
      <c r="I23" s="2">
        <f>(26-(27-26*(H19/H22))/(2-(H19/H22)))/H22</f>
        <v>10.068167226388548</v>
      </c>
    </row>
    <row r="24" spans="1:12">
      <c r="D24" t="s">
        <v>70</v>
      </c>
      <c r="F24" s="42">
        <f>F22+F23</f>
        <v>101.23059317137867</v>
      </c>
      <c r="H24" s="2"/>
      <c r="I24" s="2"/>
    </row>
    <row r="27" spans="1:12">
      <c r="H27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E23" sqref="E23:F24"/>
    </sheetView>
  </sheetViews>
  <sheetFormatPr baseColWidth="10" defaultColWidth="8.83203125" defaultRowHeight="14" x14ac:dyDescent="0"/>
  <cols>
    <col min="1" max="1" width="7.5" customWidth="1"/>
    <col min="2" max="2" width="10.6640625" customWidth="1"/>
    <col min="3" max="4" width="6.6640625" customWidth="1"/>
    <col min="5" max="5" width="12.5" customWidth="1"/>
    <col min="6" max="6" width="10" customWidth="1"/>
    <col min="7" max="7" width="9.83203125" customWidth="1"/>
    <col min="8" max="9" width="10.5" customWidth="1"/>
    <col min="12" max="12" width="0.6640625" customWidth="1"/>
  </cols>
  <sheetData>
    <row r="1" spans="1:12" ht="17">
      <c r="A1" s="35" t="s">
        <v>45</v>
      </c>
    </row>
    <row r="2" spans="1:12">
      <c r="A2" s="1"/>
      <c r="B2" s="1" t="s">
        <v>20</v>
      </c>
      <c r="C2" s="1"/>
      <c r="D2" s="1"/>
      <c r="E2" s="1" t="s">
        <v>22</v>
      </c>
      <c r="F2" s="1" t="s">
        <v>36</v>
      </c>
      <c r="G2" s="1" t="s">
        <v>0</v>
      </c>
      <c r="H2" s="1" t="s">
        <v>16</v>
      </c>
      <c r="I2" s="9" t="s">
        <v>26</v>
      </c>
      <c r="J2" s="9" t="s">
        <v>32</v>
      </c>
      <c r="L2" s="9" t="s">
        <v>68</v>
      </c>
    </row>
    <row r="3" spans="1:12">
      <c r="A3" s="28" t="s">
        <v>1</v>
      </c>
      <c r="B3" s="28" t="s">
        <v>21</v>
      </c>
      <c r="C3" s="28" t="s">
        <v>18</v>
      </c>
      <c r="D3" s="28" t="s">
        <v>19</v>
      </c>
      <c r="E3" s="28" t="s">
        <v>2</v>
      </c>
      <c r="F3" s="28" t="s">
        <v>31</v>
      </c>
      <c r="G3" s="28" t="s">
        <v>4</v>
      </c>
      <c r="H3" s="28" t="s">
        <v>17</v>
      </c>
      <c r="I3" s="28" t="s">
        <v>33</v>
      </c>
      <c r="J3" s="28" t="s">
        <v>33</v>
      </c>
      <c r="L3" s="41" t="s">
        <v>69</v>
      </c>
    </row>
    <row r="4" spans="1:12">
      <c r="A4" t="s">
        <v>5</v>
      </c>
      <c r="B4">
        <v>40.078000000000003</v>
      </c>
      <c r="C4" s="16">
        <v>1</v>
      </c>
      <c r="D4" s="16">
        <v>1</v>
      </c>
      <c r="E4">
        <f t="shared" ref="E4:E10" si="0">B4*D4+B$18*C4</f>
        <v>56.077000000000005</v>
      </c>
      <c r="F4" s="25">
        <v>55.13</v>
      </c>
      <c r="G4" s="23">
        <f t="shared" ref="G4:G10" si="1">F4/E4</f>
        <v>0.98311250601851019</v>
      </c>
      <c r="H4" s="23">
        <f t="shared" ref="H4:H10" si="2">G4*C4</f>
        <v>0.98311250601851019</v>
      </c>
      <c r="I4" s="8">
        <f t="shared" ref="I4:I10" si="3">$H4*I$22</f>
        <v>9.8981411129482808</v>
      </c>
      <c r="J4" s="27">
        <f t="shared" ref="J4:J10" si="4">I4*$D4/$C4</f>
        <v>9.8981411129482808</v>
      </c>
      <c r="L4" s="2">
        <f>J4*E4/D4</f>
        <v>555.0580591908008</v>
      </c>
    </row>
    <row r="5" spans="1:12">
      <c r="A5" t="s">
        <v>6</v>
      </c>
      <c r="B5">
        <v>87.62</v>
      </c>
      <c r="C5" s="16">
        <v>1</v>
      </c>
      <c r="D5" s="16">
        <v>1</v>
      </c>
      <c r="E5">
        <f t="shared" si="0"/>
        <v>103.619</v>
      </c>
      <c r="F5" s="18">
        <v>0.03</v>
      </c>
      <c r="G5" s="23">
        <f t="shared" si="1"/>
        <v>2.8952219187600728E-4</v>
      </c>
      <c r="H5" s="23">
        <f t="shared" si="2"/>
        <v>2.8952219187600728E-4</v>
      </c>
      <c r="I5" s="8">
        <f t="shared" si="3"/>
        <v>2.9149578435581935E-3</v>
      </c>
      <c r="J5" s="19">
        <f t="shared" si="4"/>
        <v>2.9149578435581935E-3</v>
      </c>
      <c r="L5" s="2">
        <f t="shared" ref="L5:L17" si="5">J5*E5/D5</f>
        <v>0.30204501679165646</v>
      </c>
    </row>
    <row r="6" spans="1:12">
      <c r="A6" t="s">
        <v>7</v>
      </c>
      <c r="B6">
        <v>22.989000000000001</v>
      </c>
      <c r="C6" s="16">
        <v>1</v>
      </c>
      <c r="D6" s="16">
        <v>2</v>
      </c>
      <c r="E6">
        <f t="shared" si="0"/>
        <v>61.977000000000004</v>
      </c>
      <c r="F6" s="18">
        <v>0.03</v>
      </c>
      <c r="G6" s="23">
        <f t="shared" si="1"/>
        <v>4.8405053487584097E-4</v>
      </c>
      <c r="H6" s="23">
        <f t="shared" si="2"/>
        <v>4.8405053487584097E-4</v>
      </c>
      <c r="I6" s="8">
        <f t="shared" si="3"/>
        <v>4.8735017311527899E-3</v>
      </c>
      <c r="J6" s="19">
        <f t="shared" si="4"/>
        <v>9.7470034623055798E-3</v>
      </c>
      <c r="L6" s="2">
        <f t="shared" si="5"/>
        <v>0.30204501679165646</v>
      </c>
    </row>
    <row r="7" spans="1:12">
      <c r="A7" t="s">
        <v>8</v>
      </c>
      <c r="B7">
        <v>140.11600000000001</v>
      </c>
      <c r="C7" s="16">
        <v>3</v>
      </c>
      <c r="D7" s="16">
        <v>2</v>
      </c>
      <c r="E7">
        <f t="shared" si="0"/>
        <v>328.22900000000004</v>
      </c>
      <c r="F7" s="18">
        <v>0.05</v>
      </c>
      <c r="G7" s="23">
        <f t="shared" si="1"/>
        <v>1.5233267017844248E-4</v>
      </c>
      <c r="H7" s="23">
        <f t="shared" si="2"/>
        <v>4.569980105353274E-4</v>
      </c>
      <c r="I7" s="8">
        <f t="shared" si="3"/>
        <v>4.6011323921965521E-3</v>
      </c>
      <c r="J7" s="19">
        <f t="shared" si="4"/>
        <v>3.0674215947977014E-3</v>
      </c>
      <c r="L7" s="2">
        <f t="shared" si="5"/>
        <v>0.50340836131942746</v>
      </c>
    </row>
    <row r="8" spans="1:12">
      <c r="A8" t="s">
        <v>9</v>
      </c>
      <c r="B8">
        <v>138.9</v>
      </c>
      <c r="C8" s="16">
        <v>3</v>
      </c>
      <c r="D8" s="16">
        <v>2</v>
      </c>
      <c r="E8">
        <f t="shared" si="0"/>
        <v>325.79700000000003</v>
      </c>
      <c r="F8" s="18">
        <v>0</v>
      </c>
      <c r="G8" s="23">
        <f t="shared" si="1"/>
        <v>0</v>
      </c>
      <c r="H8" s="23">
        <f t="shared" si="2"/>
        <v>0</v>
      </c>
      <c r="I8" s="8">
        <f t="shared" si="3"/>
        <v>0</v>
      </c>
      <c r="J8" s="19">
        <f t="shared" si="4"/>
        <v>0</v>
      </c>
      <c r="L8" s="2">
        <f t="shared" si="5"/>
        <v>0</v>
      </c>
    </row>
    <row r="9" spans="1:12">
      <c r="A9" t="s">
        <v>10</v>
      </c>
      <c r="B9">
        <v>54.938000000000002</v>
      </c>
      <c r="C9" s="16">
        <v>1</v>
      </c>
      <c r="D9" s="16">
        <v>1</v>
      </c>
      <c r="E9">
        <f t="shared" si="0"/>
        <v>70.936999999999998</v>
      </c>
      <c r="F9" s="18">
        <v>0.05</v>
      </c>
      <c r="G9" s="23">
        <f t="shared" si="1"/>
        <v>7.0485078308922013E-4</v>
      </c>
      <c r="H9" s="23">
        <f t="shared" si="2"/>
        <v>7.0485078308922013E-4</v>
      </c>
      <c r="I9" s="8">
        <f t="shared" si="3"/>
        <v>7.0965555537931902E-3</v>
      </c>
      <c r="J9" s="19">
        <f t="shared" si="4"/>
        <v>7.0965555537931902E-3</v>
      </c>
      <c r="L9" s="2">
        <f t="shared" si="5"/>
        <v>0.50340836131942757</v>
      </c>
    </row>
    <row r="10" spans="1:12">
      <c r="A10" t="s">
        <v>11</v>
      </c>
      <c r="B10">
        <v>55.844999999999999</v>
      </c>
      <c r="C10" s="16">
        <v>1</v>
      </c>
      <c r="D10" s="16">
        <v>1</v>
      </c>
      <c r="E10">
        <f t="shared" si="0"/>
        <v>71.843999999999994</v>
      </c>
      <c r="F10" s="18">
        <v>0.02</v>
      </c>
      <c r="G10" s="23">
        <f t="shared" si="1"/>
        <v>2.7838093647347033E-4</v>
      </c>
      <c r="H10" s="23">
        <f t="shared" si="2"/>
        <v>2.7838093647347033E-4</v>
      </c>
      <c r="I10" s="8">
        <f t="shared" si="3"/>
        <v>2.8027858210535467E-3</v>
      </c>
      <c r="J10" s="19">
        <f t="shared" si="4"/>
        <v>2.8027858210535467E-3</v>
      </c>
      <c r="L10" s="2">
        <f t="shared" si="5"/>
        <v>0.20136334452777099</v>
      </c>
    </row>
    <row r="11" spans="1:12">
      <c r="C11" s="16"/>
      <c r="D11" s="16"/>
      <c r="F11" s="12"/>
      <c r="G11" s="23"/>
      <c r="H11" s="23"/>
      <c r="I11" s="22" t="s">
        <v>39</v>
      </c>
      <c r="J11" s="20">
        <f>SUM(J4:J10)</f>
        <v>9.923769837223789</v>
      </c>
      <c r="L11" s="2"/>
    </row>
    <row r="12" spans="1:12">
      <c r="A12" t="s">
        <v>12</v>
      </c>
      <c r="B12">
        <v>30.972999999999999</v>
      </c>
      <c r="C12" s="16">
        <v>5</v>
      </c>
      <c r="D12" s="16">
        <v>2</v>
      </c>
      <c r="E12">
        <f>B12*D12+B$18*C12</f>
        <v>141.941</v>
      </c>
      <c r="F12" s="18">
        <v>42.49</v>
      </c>
      <c r="G12" s="23">
        <f>F12/E12</f>
        <v>0.2993497298173185</v>
      </c>
      <c r="H12" s="23">
        <f>G12*C12</f>
        <v>1.4967486490865924</v>
      </c>
      <c r="I12" s="8">
        <f>$H12*I$22</f>
        <v>15.069515694874966</v>
      </c>
      <c r="J12" s="19">
        <f>I12*$D12/$C12</f>
        <v>6.0278062779499866</v>
      </c>
      <c r="L12" s="2">
        <f t="shared" si="5"/>
        <v>427.79642544924951</v>
      </c>
    </row>
    <row r="13" spans="1:12">
      <c r="A13" t="s">
        <v>13</v>
      </c>
      <c r="B13">
        <v>28.085000000000001</v>
      </c>
      <c r="C13" s="16">
        <v>2</v>
      </c>
      <c r="D13" s="16">
        <v>1</v>
      </c>
      <c r="E13">
        <f>B13*D13+B$18*C13</f>
        <v>60.082999999999998</v>
      </c>
      <c r="F13" s="18">
        <v>0.03</v>
      </c>
      <c r="G13" s="23">
        <f>F13/E13</f>
        <v>4.993092888171363E-4</v>
      </c>
      <c r="H13" s="23">
        <f>G13*C13</f>
        <v>9.9861857763427261E-4</v>
      </c>
      <c r="I13" s="8">
        <f>$H13*I$22</f>
        <v>1.0054258835000133E-2</v>
      </c>
      <c r="J13" s="19">
        <f>I13*$D13/$C13</f>
        <v>5.0271294175000666E-3</v>
      </c>
      <c r="L13" s="2">
        <f t="shared" si="5"/>
        <v>0.30204501679165652</v>
      </c>
    </row>
    <row r="14" spans="1:12">
      <c r="C14" s="16"/>
      <c r="D14" s="16"/>
      <c r="F14" s="12"/>
      <c r="G14" s="23"/>
      <c r="H14" s="23"/>
      <c r="I14" s="22" t="s">
        <v>39</v>
      </c>
      <c r="J14" s="20">
        <f>SUM(J12:J13)</f>
        <v>6.0328334073674865</v>
      </c>
      <c r="L14" s="2"/>
    </row>
    <row r="15" spans="1:12">
      <c r="A15" t="s">
        <v>14</v>
      </c>
      <c r="B15">
        <v>18.998000000000001</v>
      </c>
      <c r="C15" s="16"/>
      <c r="D15" s="16">
        <v>1</v>
      </c>
      <c r="E15">
        <f>B15*D15+B$18*C15</f>
        <v>18.998000000000001</v>
      </c>
      <c r="F15" s="18">
        <v>0.12</v>
      </c>
      <c r="G15" s="23">
        <f>F15/E15</f>
        <v>6.3164543636172223E-3</v>
      </c>
      <c r="H15" s="23">
        <f>G15</f>
        <v>6.3164543636172223E-3</v>
      </c>
      <c r="I15" s="8">
        <f>$H15*I$22</f>
        <v>6.3595118810749862E-2</v>
      </c>
      <c r="J15" s="19">
        <f>I15</f>
        <v>6.3595118810749862E-2</v>
      </c>
      <c r="L15" s="2">
        <f t="shared" si="5"/>
        <v>1.2081800671666258</v>
      </c>
    </row>
    <row r="16" spans="1:12">
      <c r="A16" t="s">
        <v>15</v>
      </c>
      <c r="B16">
        <v>35.450000000000003</v>
      </c>
      <c r="C16" s="16"/>
      <c r="D16" s="16">
        <v>1</v>
      </c>
      <c r="E16">
        <f>B16*D16+B$18*C16</f>
        <v>35.450000000000003</v>
      </c>
      <c r="F16" s="18">
        <v>0.35</v>
      </c>
      <c r="G16" s="23">
        <f>F16/E16</f>
        <v>9.8730606488011269E-3</v>
      </c>
      <c r="H16" s="23">
        <f>G16</f>
        <v>9.8730606488011269E-3</v>
      </c>
      <c r="I16" s="8">
        <f>$H16*I$22</f>
        <v>9.9403625648405977E-2</v>
      </c>
      <c r="J16" s="19">
        <f>I16</f>
        <v>9.9403625648405977E-2</v>
      </c>
      <c r="L16" s="2">
        <f t="shared" si="5"/>
        <v>3.5238585292359921</v>
      </c>
    </row>
    <row r="17" spans="1:12">
      <c r="A17" t="s">
        <v>27</v>
      </c>
      <c r="B17">
        <v>1.008</v>
      </c>
      <c r="C17" s="16">
        <v>1</v>
      </c>
      <c r="D17" s="16">
        <v>1</v>
      </c>
      <c r="E17">
        <f>B17*D17+B$18*C17</f>
        <v>17.007000000000001</v>
      </c>
      <c r="F17" s="10"/>
      <c r="G17" s="4"/>
      <c r="H17" s="4"/>
      <c r="I17" s="8"/>
      <c r="J17" s="19">
        <f>2-J15-J16</f>
        <v>1.8370012555408441</v>
      </c>
      <c r="L17" s="2">
        <f t="shared" si="5"/>
        <v>31.241880352983138</v>
      </c>
    </row>
    <row r="18" spans="1:12">
      <c r="A18" s="29" t="s">
        <v>18</v>
      </c>
      <c r="B18" s="29">
        <v>15.999000000000001</v>
      </c>
      <c r="C18" s="29"/>
      <c r="D18" s="29"/>
      <c r="E18" s="29"/>
      <c r="F18" s="30"/>
      <c r="G18" s="29"/>
      <c r="H18" s="29"/>
      <c r="I18" s="29"/>
      <c r="J18" s="29"/>
    </row>
    <row r="19" spans="1:12">
      <c r="D19" t="s">
        <v>38</v>
      </c>
      <c r="F19" s="5">
        <f>SUM(F4:F16)</f>
        <v>98.300000000000011</v>
      </c>
      <c r="G19" s="6"/>
      <c r="H19" s="7">
        <f>SUM(H4:H14)</f>
        <v>2.4830735761395868</v>
      </c>
      <c r="I19" s="8"/>
      <c r="J19" s="6"/>
    </row>
    <row r="20" spans="1:12">
      <c r="E20" s="3" t="s">
        <v>24</v>
      </c>
      <c r="F20" s="2">
        <f>F15*$B$18/(2*$E15)</f>
        <v>5.0528476681755974E-2</v>
      </c>
      <c r="H20" s="7"/>
      <c r="I20" s="8"/>
    </row>
    <row r="21" spans="1:12">
      <c r="E21" s="3" t="s">
        <v>25</v>
      </c>
      <c r="F21" s="2">
        <f>F16*$B$18/(2*$E16)</f>
        <v>7.8979548660084609E-2</v>
      </c>
      <c r="H21" s="7"/>
      <c r="I21" s="8"/>
    </row>
    <row r="22" spans="1:12">
      <c r="D22" t="s">
        <v>37</v>
      </c>
      <c r="F22" s="12">
        <f>F19-F20-F21</f>
        <v>98.170491974658162</v>
      </c>
      <c r="H22" t="s">
        <v>29</v>
      </c>
      <c r="I22" s="2">
        <f>25/H19</f>
        <v>10.06816722638855</v>
      </c>
    </row>
    <row r="23" spans="1:12">
      <c r="E23" s="3" t="s">
        <v>67</v>
      </c>
      <c r="F23" s="19">
        <f>100*L17/SUM(L4:L17)</f>
        <v>3.0601011967205101</v>
      </c>
    </row>
    <row r="24" spans="1:12">
      <c r="D24" t="s">
        <v>70</v>
      </c>
      <c r="F24" s="42">
        <f>F22+F23</f>
        <v>101.23059317137867</v>
      </c>
      <c r="H24" s="2"/>
      <c r="I24" s="2"/>
    </row>
    <row r="27" spans="1:12">
      <c r="H27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workbookViewId="0">
      <selection activeCell="H25" sqref="H25"/>
    </sheetView>
  </sheetViews>
  <sheetFormatPr baseColWidth="10" defaultColWidth="8.83203125" defaultRowHeight="14" x14ac:dyDescent="0"/>
  <cols>
    <col min="1" max="1" width="7.5" customWidth="1"/>
    <col min="2" max="2" width="10.6640625" customWidth="1"/>
    <col min="3" max="4" width="6.6640625" customWidth="1"/>
    <col min="5" max="5" width="12.6640625" customWidth="1"/>
    <col min="6" max="6" width="10" customWidth="1"/>
    <col min="8" max="8" width="9.6640625" customWidth="1"/>
    <col min="9" max="9" width="8.5" customWidth="1"/>
    <col min="10" max="10" width="10.5" customWidth="1"/>
    <col min="11" max="11" width="8.33203125" customWidth="1"/>
    <col min="12" max="12" width="7.6640625" customWidth="1"/>
    <col min="13" max="13" width="8.1640625" customWidth="1"/>
    <col min="14" max="15" width="7.83203125" customWidth="1"/>
    <col min="17" max="17" width="7.5" customWidth="1"/>
  </cols>
  <sheetData>
    <row r="1" spans="1:18" ht="17">
      <c r="A1" s="35" t="s">
        <v>45</v>
      </c>
      <c r="M1" s="24" t="s">
        <v>43</v>
      </c>
      <c r="O1" s="15">
        <v>10</v>
      </c>
    </row>
    <row r="2" spans="1:18">
      <c r="A2" s="1"/>
      <c r="B2" s="1" t="s">
        <v>20</v>
      </c>
      <c r="C2" s="1"/>
      <c r="D2" s="1"/>
      <c r="E2" s="1" t="s">
        <v>22</v>
      </c>
      <c r="F2" s="1" t="s">
        <v>36</v>
      </c>
      <c r="G2" s="1" t="s">
        <v>36</v>
      </c>
      <c r="H2" s="1" t="s">
        <v>0</v>
      </c>
      <c r="J2" s="1" t="s">
        <v>16</v>
      </c>
      <c r="L2" s="9" t="s">
        <v>26</v>
      </c>
      <c r="N2" s="9" t="s">
        <v>32</v>
      </c>
      <c r="Q2" s="9" t="s">
        <v>68</v>
      </c>
    </row>
    <row r="3" spans="1:18">
      <c r="A3" s="28" t="s">
        <v>1</v>
      </c>
      <c r="B3" s="28" t="s">
        <v>21</v>
      </c>
      <c r="C3" s="28" t="s">
        <v>18</v>
      </c>
      <c r="D3" s="28" t="s">
        <v>19</v>
      </c>
      <c r="E3" s="28" t="s">
        <v>2</v>
      </c>
      <c r="F3" s="28" t="s">
        <v>31</v>
      </c>
      <c r="G3" s="28" t="s">
        <v>3</v>
      </c>
      <c r="H3" s="28" t="s">
        <v>4</v>
      </c>
      <c r="I3" s="28" t="s">
        <v>3</v>
      </c>
      <c r="J3" s="28" t="s">
        <v>17</v>
      </c>
      <c r="K3" s="28" t="s">
        <v>3</v>
      </c>
      <c r="L3" s="28" t="s">
        <v>33</v>
      </c>
      <c r="M3" s="28" t="s">
        <v>3</v>
      </c>
      <c r="N3" s="28" t="s">
        <v>33</v>
      </c>
      <c r="O3" s="28" t="s">
        <v>40</v>
      </c>
      <c r="Q3" s="41" t="s">
        <v>69</v>
      </c>
      <c r="R3" s="41"/>
    </row>
    <row r="4" spans="1:18">
      <c r="A4" t="s">
        <v>5</v>
      </c>
      <c r="B4">
        <v>40.078000000000003</v>
      </c>
      <c r="C4" s="16">
        <v>1</v>
      </c>
      <c r="D4" s="16">
        <v>1</v>
      </c>
      <c r="E4">
        <f t="shared" ref="E4:E10" si="0">B4*D4+B$18*C4</f>
        <v>56.077000000000005</v>
      </c>
      <c r="F4" s="25">
        <v>55.13</v>
      </c>
      <c r="G4" s="26">
        <v>0.91</v>
      </c>
      <c r="H4" s="23">
        <f>F4/$E4</f>
        <v>0.98311250601851019</v>
      </c>
      <c r="I4" s="23">
        <f>G4/$E4</f>
        <v>1.6227686930470601E-2</v>
      </c>
      <c r="J4" s="23">
        <f>H4*$C4</f>
        <v>0.98311250601851019</v>
      </c>
      <c r="K4" s="23">
        <f>I4*$C4</f>
        <v>1.6227686930470601E-2</v>
      </c>
      <c r="L4" s="8">
        <f t="shared" ref="L4:M10" si="1">J4*$L$22</f>
        <v>9.8981411129482808</v>
      </c>
      <c r="M4" s="8">
        <f t="shared" si="1"/>
        <v>0.1633830657134579</v>
      </c>
      <c r="N4" s="27">
        <f t="shared" ref="N4:N10" si="2">L4*$D4/$C4</f>
        <v>9.8981411129482808</v>
      </c>
      <c r="O4" s="27">
        <f t="shared" ref="O4:O10" si="3">M4*($D4/$C4)/SQRT($O$1)</f>
        <v>5.166626187554902E-2</v>
      </c>
      <c r="Q4" s="2">
        <f>N4*$E4/$D4</f>
        <v>555.0580591908008</v>
      </c>
      <c r="R4" s="2"/>
    </row>
    <row r="5" spans="1:18">
      <c r="A5" t="s">
        <v>6</v>
      </c>
      <c r="B5">
        <v>87.62</v>
      </c>
      <c r="C5" s="16">
        <v>1</v>
      </c>
      <c r="D5" s="16">
        <v>1</v>
      </c>
      <c r="E5">
        <f t="shared" si="0"/>
        <v>103.619</v>
      </c>
      <c r="F5" s="18">
        <v>0.03</v>
      </c>
      <c r="G5" s="14">
        <v>0.03</v>
      </c>
      <c r="H5" s="23">
        <f t="shared" ref="H5:I16" si="4">F5/$E5</f>
        <v>2.8952219187600728E-4</v>
      </c>
      <c r="I5" s="23">
        <f t="shared" si="4"/>
        <v>2.8952219187600728E-4</v>
      </c>
      <c r="J5" s="23">
        <f t="shared" ref="J5:K13" si="5">H5*$C5</f>
        <v>2.8952219187600728E-4</v>
      </c>
      <c r="K5" s="23">
        <f t="shared" si="5"/>
        <v>2.8952219187600728E-4</v>
      </c>
      <c r="L5" s="8">
        <f t="shared" si="1"/>
        <v>2.9149578435581935E-3</v>
      </c>
      <c r="M5" s="8">
        <f t="shared" si="1"/>
        <v>2.9149578435581935E-3</v>
      </c>
      <c r="N5" s="19">
        <f t="shared" si="2"/>
        <v>2.9149578435581935E-3</v>
      </c>
      <c r="O5" s="19">
        <f t="shared" si="3"/>
        <v>9.2179060690166686E-4</v>
      </c>
      <c r="Q5" s="2">
        <f t="shared" ref="Q5:Q17" si="6">N5*$E5/$D5</f>
        <v>0.30204501679165646</v>
      </c>
      <c r="R5" s="2"/>
    </row>
    <row r="6" spans="1:18">
      <c r="A6" t="s">
        <v>7</v>
      </c>
      <c r="B6">
        <v>22.989000000000001</v>
      </c>
      <c r="C6" s="16">
        <v>1</v>
      </c>
      <c r="D6" s="16">
        <v>2</v>
      </c>
      <c r="E6">
        <f t="shared" si="0"/>
        <v>61.977000000000004</v>
      </c>
      <c r="F6" s="18">
        <v>0.03</v>
      </c>
      <c r="G6" s="14">
        <v>0.1</v>
      </c>
      <c r="H6" s="23">
        <f t="shared" si="4"/>
        <v>4.8405053487584097E-4</v>
      </c>
      <c r="I6" s="23">
        <f t="shared" si="4"/>
        <v>1.6135017829194702E-3</v>
      </c>
      <c r="J6" s="23">
        <f t="shared" si="5"/>
        <v>4.8405053487584097E-4</v>
      </c>
      <c r="K6" s="23">
        <f t="shared" si="5"/>
        <v>1.6135017829194702E-3</v>
      </c>
      <c r="L6" s="8">
        <f t="shared" si="1"/>
        <v>4.8735017311527899E-3</v>
      </c>
      <c r="M6" s="8">
        <f t="shared" si="1"/>
        <v>1.6245005770509302E-2</v>
      </c>
      <c r="N6" s="19">
        <f t="shared" si="2"/>
        <v>9.7470034623055798E-3</v>
      </c>
      <c r="O6" s="19">
        <f t="shared" si="3"/>
        <v>1.0274243767477594E-2</v>
      </c>
      <c r="Q6" s="2">
        <f t="shared" si="6"/>
        <v>0.30204501679165646</v>
      </c>
      <c r="R6" s="2"/>
    </row>
    <row r="7" spans="1:18">
      <c r="A7" t="s">
        <v>8</v>
      </c>
      <c r="B7">
        <v>140.11600000000001</v>
      </c>
      <c r="C7" s="16">
        <v>3</v>
      </c>
      <c r="D7" s="16">
        <v>2</v>
      </c>
      <c r="E7">
        <f t="shared" si="0"/>
        <v>328.22900000000004</v>
      </c>
      <c r="F7" s="18">
        <v>0.05</v>
      </c>
      <c r="G7" s="14">
        <v>0.01</v>
      </c>
      <c r="H7" s="23">
        <f t="shared" si="4"/>
        <v>1.5233267017844248E-4</v>
      </c>
      <c r="I7" s="23">
        <f t="shared" si="4"/>
        <v>3.0466534035688493E-5</v>
      </c>
      <c r="J7" s="23">
        <f t="shared" si="5"/>
        <v>4.569980105353274E-4</v>
      </c>
      <c r="K7" s="23">
        <f t="shared" si="5"/>
        <v>9.1399602107065483E-5</v>
      </c>
      <c r="L7" s="8">
        <f t="shared" si="1"/>
        <v>4.6011323921965521E-3</v>
      </c>
      <c r="M7" s="8">
        <f t="shared" si="1"/>
        <v>9.2022647843931053E-4</v>
      </c>
      <c r="N7" s="19">
        <f t="shared" si="2"/>
        <v>3.0674215947977014E-3</v>
      </c>
      <c r="O7" s="19">
        <f t="shared" si="3"/>
        <v>1.9400077567093666E-4</v>
      </c>
      <c r="Q7" s="2">
        <f t="shared" si="6"/>
        <v>0.50340836131942746</v>
      </c>
      <c r="R7" s="2"/>
    </row>
    <row r="8" spans="1:18">
      <c r="A8" t="s">
        <v>9</v>
      </c>
      <c r="B8">
        <v>138.9</v>
      </c>
      <c r="C8" s="16">
        <v>3</v>
      </c>
      <c r="D8" s="16">
        <v>2</v>
      </c>
      <c r="E8">
        <f t="shared" si="0"/>
        <v>325.79700000000003</v>
      </c>
      <c r="F8" s="18">
        <v>0</v>
      </c>
      <c r="G8" s="14">
        <v>0</v>
      </c>
      <c r="H8" s="23">
        <f t="shared" si="4"/>
        <v>0</v>
      </c>
      <c r="I8" s="23">
        <f t="shared" si="4"/>
        <v>0</v>
      </c>
      <c r="J8" s="23">
        <f t="shared" si="5"/>
        <v>0</v>
      </c>
      <c r="K8" s="23">
        <f t="shared" si="5"/>
        <v>0</v>
      </c>
      <c r="L8" s="8">
        <f t="shared" si="1"/>
        <v>0</v>
      </c>
      <c r="M8" s="8">
        <f t="shared" si="1"/>
        <v>0</v>
      </c>
      <c r="N8" s="19">
        <f t="shared" si="2"/>
        <v>0</v>
      </c>
      <c r="O8" s="19">
        <f t="shared" si="3"/>
        <v>0</v>
      </c>
      <c r="Q8" s="2">
        <f t="shared" si="6"/>
        <v>0</v>
      </c>
      <c r="R8" s="2"/>
    </row>
    <row r="9" spans="1:18">
      <c r="A9" t="s">
        <v>10</v>
      </c>
      <c r="B9">
        <v>54.938000000000002</v>
      </c>
      <c r="C9" s="16">
        <v>1</v>
      </c>
      <c r="D9" s="16">
        <v>1</v>
      </c>
      <c r="E9">
        <f t="shared" si="0"/>
        <v>70.936999999999998</v>
      </c>
      <c r="F9" s="18">
        <v>0.05</v>
      </c>
      <c r="G9" s="14">
        <v>0.03</v>
      </c>
      <c r="H9" s="23">
        <f t="shared" si="4"/>
        <v>7.0485078308922013E-4</v>
      </c>
      <c r="I9" s="23">
        <f t="shared" si="4"/>
        <v>4.2291046985353203E-4</v>
      </c>
      <c r="J9" s="23">
        <f t="shared" si="5"/>
        <v>7.0485078308922013E-4</v>
      </c>
      <c r="K9" s="23">
        <f t="shared" si="5"/>
        <v>4.2291046985353203E-4</v>
      </c>
      <c r="L9" s="8">
        <f t="shared" si="1"/>
        <v>7.0965555537931902E-3</v>
      </c>
      <c r="M9" s="8">
        <f t="shared" si="1"/>
        <v>4.2579333322759136E-3</v>
      </c>
      <c r="N9" s="19">
        <f t="shared" si="2"/>
        <v>7.0965555537931902E-3</v>
      </c>
      <c r="O9" s="19">
        <f t="shared" si="3"/>
        <v>1.3464767455142427E-3</v>
      </c>
      <c r="Q9" s="2">
        <f t="shared" si="6"/>
        <v>0.50340836131942757</v>
      </c>
      <c r="R9" s="2"/>
    </row>
    <row r="10" spans="1:18">
      <c r="A10" t="s">
        <v>11</v>
      </c>
      <c r="B10">
        <v>55.844999999999999</v>
      </c>
      <c r="C10" s="16">
        <v>1</v>
      </c>
      <c r="D10" s="16">
        <v>1</v>
      </c>
      <c r="E10">
        <f t="shared" si="0"/>
        <v>71.843999999999994</v>
      </c>
      <c r="F10" s="18">
        <v>0.02</v>
      </c>
      <c r="G10" s="14">
        <v>0.02</v>
      </c>
      <c r="H10" s="23">
        <f t="shared" si="4"/>
        <v>2.7838093647347033E-4</v>
      </c>
      <c r="I10" s="23">
        <f t="shared" si="4"/>
        <v>2.7838093647347033E-4</v>
      </c>
      <c r="J10" s="23">
        <f t="shared" si="5"/>
        <v>2.7838093647347033E-4</v>
      </c>
      <c r="K10" s="23">
        <f t="shared" si="5"/>
        <v>2.7838093647347033E-4</v>
      </c>
      <c r="L10" s="8">
        <f t="shared" si="1"/>
        <v>2.8027858210535467E-3</v>
      </c>
      <c r="M10" s="8">
        <f t="shared" si="1"/>
        <v>2.8027858210535467E-3</v>
      </c>
      <c r="N10" s="19">
        <f t="shared" si="2"/>
        <v>2.8027858210535467E-3</v>
      </c>
      <c r="O10" s="19">
        <f t="shared" si="3"/>
        <v>8.8631869881543193E-4</v>
      </c>
      <c r="Q10" s="2">
        <f t="shared" si="6"/>
        <v>0.20136334452777099</v>
      </c>
      <c r="R10" s="2"/>
    </row>
    <row r="11" spans="1:18">
      <c r="C11" s="16"/>
      <c r="D11" s="16"/>
      <c r="F11" s="12"/>
      <c r="H11" s="23"/>
      <c r="I11" s="23"/>
      <c r="J11" s="23"/>
      <c r="K11" s="23"/>
      <c r="M11" s="22" t="s">
        <v>39</v>
      </c>
      <c r="N11" s="20">
        <f>SUM(N4:N10)</f>
        <v>9.923769837223789</v>
      </c>
      <c r="O11" s="20">
        <f>SQRT(O4^2+O5^2+O6^2+O7^2+O8^2+O9^2+O10^2)</f>
        <v>5.2710991224529033E-2</v>
      </c>
      <c r="Q11" s="2"/>
    </row>
    <row r="12" spans="1:18">
      <c r="A12" t="s">
        <v>12</v>
      </c>
      <c r="B12">
        <v>30.972999999999999</v>
      </c>
      <c r="C12" s="16">
        <v>5</v>
      </c>
      <c r="D12" s="16">
        <v>2</v>
      </c>
      <c r="E12">
        <f>B12*D12+B$18*C12</f>
        <v>141.941</v>
      </c>
      <c r="F12" s="18">
        <v>42.49</v>
      </c>
      <c r="G12" s="14">
        <v>0.56000000000000005</v>
      </c>
      <c r="H12" s="23">
        <f t="shared" si="4"/>
        <v>0.2993497298173185</v>
      </c>
      <c r="I12" s="23">
        <f t="shared" si="4"/>
        <v>3.9453012167027148E-3</v>
      </c>
      <c r="J12" s="23">
        <f t="shared" si="5"/>
        <v>1.4967486490865924</v>
      </c>
      <c r="K12" s="23">
        <f t="shared" si="5"/>
        <v>1.9726506083513576E-2</v>
      </c>
      <c r="L12" s="8">
        <f>J12*$L$22</f>
        <v>15.069515694874966</v>
      </c>
      <c r="M12" s="8">
        <f>K12*$L$22</f>
        <v>0.19860976204118572</v>
      </c>
      <c r="N12" s="19">
        <f>L12*$D12/$C12</f>
        <v>6.0278062779499866</v>
      </c>
      <c r="O12" s="19">
        <f>M12*($D12/$C12)/SQRT($O$1)</f>
        <v>2.5122368543767974E-2</v>
      </c>
      <c r="Q12" s="2">
        <f t="shared" si="6"/>
        <v>427.79642544924951</v>
      </c>
      <c r="R12" s="2"/>
    </row>
    <row r="13" spans="1:18">
      <c r="A13" t="s">
        <v>13</v>
      </c>
      <c r="B13">
        <v>28.085000000000001</v>
      </c>
      <c r="C13" s="16">
        <v>2</v>
      </c>
      <c r="D13" s="16">
        <v>1</v>
      </c>
      <c r="E13">
        <f>B13*D13+B$18*C13</f>
        <v>60.082999999999998</v>
      </c>
      <c r="F13" s="18">
        <v>0.03</v>
      </c>
      <c r="G13" s="14">
        <v>0.06</v>
      </c>
      <c r="H13" s="23">
        <f t="shared" si="4"/>
        <v>4.993092888171363E-4</v>
      </c>
      <c r="I13" s="23">
        <f t="shared" si="4"/>
        <v>9.9861857763427261E-4</v>
      </c>
      <c r="J13" s="23">
        <f t="shared" si="5"/>
        <v>9.9861857763427261E-4</v>
      </c>
      <c r="K13" s="23">
        <f t="shared" si="5"/>
        <v>1.9972371552685452E-3</v>
      </c>
      <c r="L13" s="8">
        <f>J13*$L$22</f>
        <v>1.0054258835000133E-2</v>
      </c>
      <c r="M13" s="8">
        <f>K13*$L$22</f>
        <v>2.0108517670000266E-2</v>
      </c>
      <c r="N13" s="19">
        <f>L13*$D13/$C13</f>
        <v>5.0271294175000666E-3</v>
      </c>
      <c r="O13" s="19">
        <f>M13*($D13/$C13)/SQRT($O$1)</f>
        <v>3.1794358103471474E-3</v>
      </c>
      <c r="Q13" s="2">
        <f t="shared" si="6"/>
        <v>0.30204501679165652</v>
      </c>
      <c r="R13" s="2"/>
    </row>
    <row r="14" spans="1:18">
      <c r="C14" s="16"/>
      <c r="D14" s="16"/>
      <c r="F14" s="12"/>
      <c r="H14" s="23"/>
      <c r="I14" s="23"/>
      <c r="J14" s="23"/>
      <c r="K14" s="23"/>
      <c r="M14" s="22" t="s">
        <v>39</v>
      </c>
      <c r="N14" s="20">
        <f>SUM(N12:N13)</f>
        <v>6.0328334073674865</v>
      </c>
      <c r="O14" s="20">
        <f>SQRT(O12^2+O13^2)</f>
        <v>2.5322760776049287E-2</v>
      </c>
      <c r="Q14" s="2"/>
    </row>
    <row r="15" spans="1:18">
      <c r="A15" t="s">
        <v>14</v>
      </c>
      <c r="B15">
        <v>18.998000000000001</v>
      </c>
      <c r="C15" s="16"/>
      <c r="D15" s="16">
        <v>1</v>
      </c>
      <c r="E15">
        <f>B15*D15+B$18*C15</f>
        <v>18.998000000000001</v>
      </c>
      <c r="F15" s="18">
        <v>0.12</v>
      </c>
      <c r="G15" s="14">
        <v>0.12</v>
      </c>
      <c r="H15" s="23">
        <f t="shared" si="4"/>
        <v>6.3164543636172223E-3</v>
      </c>
      <c r="I15" s="23">
        <f t="shared" si="4"/>
        <v>6.3164543636172223E-3</v>
      </c>
      <c r="J15" s="23">
        <f>H15</f>
        <v>6.3164543636172223E-3</v>
      </c>
      <c r="K15" s="23">
        <f>I15</f>
        <v>6.3164543636172223E-3</v>
      </c>
      <c r="L15" s="8">
        <f>J15*$L$22</f>
        <v>6.3595118810749862E-2</v>
      </c>
      <c r="M15" s="8">
        <f>K15*$L$22</f>
        <v>6.3595118810749862E-2</v>
      </c>
      <c r="N15" s="19">
        <f>L15</f>
        <v>6.3595118810749862E-2</v>
      </c>
      <c r="O15" s="19">
        <f>M15/SQRT($O$1)</f>
        <v>2.0110542351098815E-2</v>
      </c>
      <c r="Q15" s="2">
        <f t="shared" si="6"/>
        <v>1.2081800671666258</v>
      </c>
      <c r="R15" s="2"/>
    </row>
    <row r="16" spans="1:18">
      <c r="A16" t="s">
        <v>15</v>
      </c>
      <c r="B16">
        <v>35.450000000000003</v>
      </c>
      <c r="C16" s="16"/>
      <c r="D16" s="16">
        <v>1</v>
      </c>
      <c r="E16">
        <f>B16*D16+B$18*C16</f>
        <v>35.450000000000003</v>
      </c>
      <c r="F16" s="18">
        <v>0.35</v>
      </c>
      <c r="G16" s="14">
        <v>0.05</v>
      </c>
      <c r="H16" s="23">
        <f t="shared" si="4"/>
        <v>9.8730606488011269E-3</v>
      </c>
      <c r="I16" s="23">
        <f t="shared" si="4"/>
        <v>1.4104372355430183E-3</v>
      </c>
      <c r="J16" s="23">
        <f>H16</f>
        <v>9.8730606488011269E-3</v>
      </c>
      <c r="K16" s="23">
        <f>I16</f>
        <v>1.4104372355430183E-3</v>
      </c>
      <c r="L16" s="8">
        <f>J16*$L$22</f>
        <v>9.9403625648405977E-2</v>
      </c>
      <c r="M16" s="8">
        <f>K16*$L$22</f>
        <v>1.4200517949772284E-2</v>
      </c>
      <c r="N16" s="19">
        <f>L16</f>
        <v>9.9403625648405977E-2</v>
      </c>
      <c r="O16" s="19">
        <f>M16/SQRT($O$1)</f>
        <v>4.4905980675384967E-3</v>
      </c>
      <c r="Q16" s="2">
        <f t="shared" si="6"/>
        <v>3.5238585292359921</v>
      </c>
      <c r="R16" s="2"/>
    </row>
    <row r="17" spans="1:18">
      <c r="A17" t="s">
        <v>27</v>
      </c>
      <c r="B17">
        <v>1.008</v>
      </c>
      <c r="C17" s="16">
        <v>1</v>
      </c>
      <c r="D17" s="16">
        <v>1</v>
      </c>
      <c r="E17">
        <f>B17*D17+B$18*C17</f>
        <v>17.007000000000001</v>
      </c>
      <c r="F17" s="10"/>
      <c r="H17" s="4"/>
      <c r="J17" s="4"/>
      <c r="L17" s="8"/>
      <c r="N17" s="19">
        <f>2-N15-N16</f>
        <v>1.8370012555408441</v>
      </c>
      <c r="O17" s="19">
        <f>SQRT(O15^2+O16^2)</f>
        <v>2.0605809488091448E-2</v>
      </c>
      <c r="Q17" s="2">
        <f t="shared" si="6"/>
        <v>31.241880352983138</v>
      </c>
      <c r="R17" s="2"/>
    </row>
    <row r="18" spans="1:18">
      <c r="A18" s="29" t="s">
        <v>18</v>
      </c>
      <c r="B18" s="29">
        <v>15.999000000000001</v>
      </c>
      <c r="C18" s="29"/>
      <c r="D18" s="29"/>
      <c r="E18" s="29"/>
      <c r="F18" s="30"/>
      <c r="G18" s="29"/>
      <c r="H18" s="29"/>
      <c r="I18" s="29"/>
      <c r="J18" s="29"/>
      <c r="K18" s="29"/>
      <c r="L18" s="29"/>
      <c r="M18" s="29"/>
      <c r="N18" s="29"/>
      <c r="O18" s="29"/>
    </row>
    <row r="19" spans="1:18">
      <c r="D19" t="s">
        <v>41</v>
      </c>
      <c r="F19" s="5">
        <f>SUM(F4:F16)</f>
        <v>98.300000000000011</v>
      </c>
      <c r="H19" s="6"/>
      <c r="J19" s="7">
        <f>SUM(J4:J14)</f>
        <v>2.4830735761395868</v>
      </c>
      <c r="L19" s="8"/>
    </row>
    <row r="20" spans="1:18">
      <c r="E20" s="3" t="s">
        <v>24</v>
      </c>
      <c r="F20" s="2">
        <f>F15*$B$18/(2*$E15)</f>
        <v>5.0528476681755974E-2</v>
      </c>
      <c r="J20" s="7"/>
      <c r="L20" s="8"/>
    </row>
    <row r="21" spans="1:18">
      <c r="E21" s="3" t="s">
        <v>25</v>
      </c>
      <c r="F21" s="2">
        <f>F16*$B$18/(2*$E16)</f>
        <v>7.8979548660084609E-2</v>
      </c>
      <c r="J21" s="7"/>
      <c r="L21" s="8"/>
    </row>
    <row r="22" spans="1:18">
      <c r="D22" t="s">
        <v>42</v>
      </c>
      <c r="F22" s="12">
        <f>F19-F20-F21</f>
        <v>98.170491974658162</v>
      </c>
      <c r="J22" s="7"/>
      <c r="K22" t="s">
        <v>29</v>
      </c>
      <c r="L22" s="2">
        <f>25/J19</f>
        <v>10.06816722638855</v>
      </c>
    </row>
    <row r="23" spans="1:18">
      <c r="E23" s="3" t="s">
        <v>67</v>
      </c>
      <c r="F23" s="42">
        <f>100*Q17/SUM(Q4:Q17)</f>
        <v>3.0601011967205101</v>
      </c>
    </row>
    <row r="24" spans="1:18">
      <c r="D24" t="s">
        <v>70</v>
      </c>
      <c r="F24" s="42">
        <f>F22+F23</f>
        <v>101.23059317137867</v>
      </c>
      <c r="I24" s="2"/>
      <c r="J24" s="2"/>
    </row>
    <row r="27" spans="1:18">
      <c r="I27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K21" sqref="K21"/>
    </sheetView>
  </sheetViews>
  <sheetFormatPr baseColWidth="10" defaultColWidth="8.83203125" defaultRowHeight="14" x14ac:dyDescent="0"/>
  <cols>
    <col min="1" max="1" width="7.5" customWidth="1"/>
    <col min="2" max="2" width="10.6640625" customWidth="1"/>
    <col min="3" max="4" width="6.6640625" customWidth="1"/>
    <col min="5" max="5" width="10.33203125" customWidth="1"/>
    <col min="6" max="6" width="10" customWidth="1"/>
    <col min="8" max="8" width="11" customWidth="1"/>
    <col min="9" max="10" width="10.5" customWidth="1"/>
  </cols>
  <sheetData>
    <row r="1" spans="1:12">
      <c r="A1" s="1"/>
      <c r="B1" s="1" t="s">
        <v>20</v>
      </c>
      <c r="C1" s="1"/>
      <c r="D1" s="1"/>
      <c r="E1" s="1" t="s">
        <v>22</v>
      </c>
      <c r="F1" s="1" t="s">
        <v>36</v>
      </c>
      <c r="G1" s="1" t="s">
        <v>0</v>
      </c>
      <c r="H1" s="1" t="s">
        <v>16</v>
      </c>
      <c r="I1" s="9" t="s">
        <v>26</v>
      </c>
      <c r="J1" s="9" t="s">
        <v>32</v>
      </c>
      <c r="K1" s="9" t="s">
        <v>28</v>
      </c>
      <c r="L1" s="9" t="s">
        <v>32</v>
      </c>
    </row>
    <row r="2" spans="1:12">
      <c r="A2" s="28" t="s">
        <v>1</v>
      </c>
      <c r="B2" s="28" t="s">
        <v>21</v>
      </c>
      <c r="C2" s="28" t="s">
        <v>18</v>
      </c>
      <c r="D2" s="28" t="s">
        <v>19</v>
      </c>
      <c r="E2" s="28" t="s">
        <v>2</v>
      </c>
      <c r="F2" s="28" t="s">
        <v>31</v>
      </c>
      <c r="G2" s="28" t="s">
        <v>4</v>
      </c>
      <c r="H2" s="28" t="s">
        <v>17</v>
      </c>
      <c r="I2" s="28" t="s">
        <v>33</v>
      </c>
      <c r="J2" s="28" t="s">
        <v>33</v>
      </c>
      <c r="K2" s="31" t="s">
        <v>44</v>
      </c>
      <c r="L2" s="31" t="s">
        <v>44</v>
      </c>
    </row>
    <row r="3" spans="1:12">
      <c r="A3" t="s">
        <v>5</v>
      </c>
      <c r="B3">
        <v>40.078000000000003</v>
      </c>
      <c r="C3" s="16">
        <v>1</v>
      </c>
      <c r="D3" s="16">
        <v>1</v>
      </c>
      <c r="E3">
        <f t="shared" ref="E3:E9" si="0">B3*D3+B$17*C3</f>
        <v>56.077000000000005</v>
      </c>
      <c r="F3" s="25">
        <v>52.73</v>
      </c>
      <c r="G3" s="4">
        <f t="shared" ref="G3:G9" si="1">F3/E3</f>
        <v>0.94031421081726896</v>
      </c>
      <c r="H3" s="4">
        <f t="shared" ref="H3:H9" si="2">G3*C3</f>
        <v>0.94031421081726896</v>
      </c>
      <c r="I3" s="8">
        <f t="shared" ref="I3:I9" si="3">$H3*H$23</f>
        <v>9.7868712277711367</v>
      </c>
      <c r="J3" s="8">
        <f>I3*$D3/$C3</f>
        <v>9.7868712277711367</v>
      </c>
      <c r="K3" s="8">
        <f t="shared" ref="K3:K9" si="4">$H3*J$23</f>
        <v>9.7700772533609559</v>
      </c>
      <c r="L3" s="27">
        <f>K3*$D3/$C3</f>
        <v>9.7700772533609559</v>
      </c>
    </row>
    <row r="4" spans="1:12">
      <c r="A4" t="s">
        <v>6</v>
      </c>
      <c r="B4">
        <v>87.62</v>
      </c>
      <c r="C4" s="16">
        <v>1</v>
      </c>
      <c r="D4" s="16">
        <v>1</v>
      </c>
      <c r="E4">
        <f t="shared" si="0"/>
        <v>103.619</v>
      </c>
      <c r="F4" s="18">
        <v>0.06</v>
      </c>
      <c r="G4" s="4">
        <f t="shared" si="1"/>
        <v>5.7904438375201456E-4</v>
      </c>
      <c r="H4" s="4">
        <f t="shared" si="2"/>
        <v>5.7904438375201456E-4</v>
      </c>
      <c r="I4" s="8">
        <f t="shared" si="3"/>
        <v>6.0267437775077225E-3</v>
      </c>
      <c r="J4" s="8">
        <f t="shared" ref="J4:J9" si="5">I4*$D4/$C4</f>
        <v>6.0267437775077225E-3</v>
      </c>
      <c r="K4" s="8">
        <f t="shared" si="4"/>
        <v>6.016402067841718E-3</v>
      </c>
      <c r="L4" s="19">
        <f t="shared" ref="L4:L12" si="6">K4*$D4/$C4</f>
        <v>6.016402067841718E-3</v>
      </c>
    </row>
    <row r="5" spans="1:12">
      <c r="A5" t="s">
        <v>7</v>
      </c>
      <c r="B5">
        <v>22.989000000000001</v>
      </c>
      <c r="C5" s="16">
        <v>1</v>
      </c>
      <c r="D5" s="16">
        <v>2</v>
      </c>
      <c r="E5">
        <f t="shared" si="0"/>
        <v>61.977000000000004</v>
      </c>
      <c r="F5" s="18">
        <v>0.4</v>
      </c>
      <c r="G5" s="4">
        <f t="shared" si="1"/>
        <v>6.4540071316778807E-3</v>
      </c>
      <c r="H5" s="4">
        <f t="shared" si="2"/>
        <v>6.4540071316778807E-3</v>
      </c>
      <c r="I5" s="8">
        <f t="shared" si="3"/>
        <v>6.7173861645618296E-2</v>
      </c>
      <c r="J5" s="8">
        <f t="shared" si="5"/>
        <v>0.13434772329123659</v>
      </c>
      <c r="K5" s="8">
        <f t="shared" si="4"/>
        <v>6.7058593334913597E-2</v>
      </c>
      <c r="L5" s="19">
        <f t="shared" si="6"/>
        <v>0.13411718666982719</v>
      </c>
    </row>
    <row r="6" spans="1:12">
      <c r="A6" t="s">
        <v>8</v>
      </c>
      <c r="B6">
        <v>140.11600000000001</v>
      </c>
      <c r="C6" s="16">
        <v>3</v>
      </c>
      <c r="D6" s="16">
        <v>2</v>
      </c>
      <c r="E6">
        <f t="shared" si="0"/>
        <v>328.22900000000004</v>
      </c>
      <c r="F6" s="18">
        <v>0.32</v>
      </c>
      <c r="G6" s="4">
        <f t="shared" si="1"/>
        <v>9.7492908914203179E-4</v>
      </c>
      <c r="H6" s="4">
        <f t="shared" si="2"/>
        <v>2.9247872674260955E-3</v>
      </c>
      <c r="I6" s="8">
        <f t="shared" si="3"/>
        <v>3.0441437580790126E-2</v>
      </c>
      <c r="J6" s="8">
        <f t="shared" si="5"/>
        <v>2.0294291720526752E-2</v>
      </c>
      <c r="K6" s="8">
        <f t="shared" si="4"/>
        <v>3.03892009965087E-2</v>
      </c>
      <c r="L6" s="19">
        <f t="shared" si="6"/>
        <v>2.0259467331005799E-2</v>
      </c>
    </row>
    <row r="7" spans="1:12">
      <c r="A7" t="s">
        <v>9</v>
      </c>
      <c r="B7">
        <v>138.9</v>
      </c>
      <c r="C7" s="16">
        <v>3</v>
      </c>
      <c r="D7" s="16">
        <v>2</v>
      </c>
      <c r="E7">
        <f t="shared" si="0"/>
        <v>325.79700000000003</v>
      </c>
      <c r="F7" s="18">
        <v>0.06</v>
      </c>
      <c r="G7" s="4">
        <f t="shared" si="1"/>
        <v>1.841637584139817E-4</v>
      </c>
      <c r="H7" s="4">
        <f t="shared" si="2"/>
        <v>5.5249127524194513E-4</v>
      </c>
      <c r="I7" s="8">
        <f t="shared" si="3"/>
        <v>5.7503767390268117E-3</v>
      </c>
      <c r="J7" s="8">
        <f t="shared" si="5"/>
        <v>3.8335844926845413E-3</v>
      </c>
      <c r="K7" s="8">
        <f t="shared" si="4"/>
        <v>5.740509266822816E-3</v>
      </c>
      <c r="L7" s="19">
        <f t="shared" si="6"/>
        <v>3.8270061778818772E-3</v>
      </c>
    </row>
    <row r="8" spans="1:12">
      <c r="A8" t="s">
        <v>10</v>
      </c>
      <c r="B8">
        <v>54.938000000000002</v>
      </c>
      <c r="C8" s="16">
        <v>1</v>
      </c>
      <c r="D8" s="16">
        <v>1</v>
      </c>
      <c r="E8">
        <f t="shared" si="0"/>
        <v>70.936999999999998</v>
      </c>
      <c r="F8" s="18">
        <v>0.01</v>
      </c>
      <c r="G8" s="4">
        <f t="shared" si="1"/>
        <v>1.4097015661784402E-4</v>
      </c>
      <c r="H8" s="4">
        <f t="shared" si="2"/>
        <v>1.4097015661784402E-4</v>
      </c>
      <c r="I8" s="8">
        <f t="shared" si="3"/>
        <v>1.467229521691954E-3</v>
      </c>
      <c r="J8" s="8">
        <f t="shared" si="5"/>
        <v>1.467229521691954E-3</v>
      </c>
      <c r="K8" s="8">
        <f t="shared" si="4"/>
        <v>1.4647118003009503E-3</v>
      </c>
      <c r="L8" s="19">
        <f t="shared" si="6"/>
        <v>1.4647118003009503E-3</v>
      </c>
    </row>
    <row r="9" spans="1:12">
      <c r="A9" t="s">
        <v>11</v>
      </c>
      <c r="B9">
        <v>55.844999999999999</v>
      </c>
      <c r="C9" s="16">
        <v>1</v>
      </c>
      <c r="D9" s="16">
        <v>1</v>
      </c>
      <c r="E9">
        <f t="shared" si="0"/>
        <v>71.843999999999994</v>
      </c>
      <c r="F9" s="18">
        <v>0.08</v>
      </c>
      <c r="G9" s="4">
        <f t="shared" si="1"/>
        <v>1.1135237458938813E-3</v>
      </c>
      <c r="H9" s="4">
        <f t="shared" si="2"/>
        <v>1.1135237458938813E-3</v>
      </c>
      <c r="I9" s="8">
        <f t="shared" si="3"/>
        <v>1.1589650974919229E-2</v>
      </c>
      <c r="J9" s="8">
        <f t="shared" si="5"/>
        <v>1.1589650974919229E-2</v>
      </c>
      <c r="K9" s="8">
        <f t="shared" si="4"/>
        <v>1.1569763485100887E-2</v>
      </c>
      <c r="L9" s="19">
        <f t="shared" si="6"/>
        <v>1.1569763485100887E-2</v>
      </c>
    </row>
    <row r="10" spans="1:12">
      <c r="C10" s="16"/>
      <c r="D10" s="16"/>
      <c r="F10" s="12"/>
      <c r="G10" s="4"/>
      <c r="H10" s="4"/>
      <c r="I10" s="22" t="s">
        <v>39</v>
      </c>
      <c r="J10" s="21">
        <f>SUM(J3:J9)</f>
        <v>9.9644304515497026</v>
      </c>
      <c r="K10" s="22" t="s">
        <v>39</v>
      </c>
      <c r="L10" s="20">
        <f>SUM(L3:L9)</f>
        <v>9.947331790892914</v>
      </c>
    </row>
    <row r="11" spans="1:12">
      <c r="A11" t="s">
        <v>12</v>
      </c>
      <c r="B11">
        <v>30.972999999999999</v>
      </c>
      <c r="C11" s="16">
        <v>5</v>
      </c>
      <c r="D11" s="16">
        <v>2</v>
      </c>
      <c r="E11">
        <f>B11*D11+B$17*C11</f>
        <v>141.941</v>
      </c>
      <c r="F11" s="18">
        <v>41.23</v>
      </c>
      <c r="G11" s="4">
        <f>F11/E11</f>
        <v>0.2904728020797373</v>
      </c>
      <c r="H11" s="4">
        <f>G11*C11</f>
        <v>1.4523640103986866</v>
      </c>
      <c r="I11" s="8">
        <f>$H11*H$23</f>
        <v>15.116329607809606</v>
      </c>
      <c r="J11" s="8">
        <f t="shared" ref="J11:J12" si="7">I11*$D11/$C11</f>
        <v>6.0465318431238426</v>
      </c>
      <c r="K11" s="8">
        <f>$H11*J$23</f>
        <v>15.090390444342423</v>
      </c>
      <c r="L11" s="19">
        <f t="shared" si="6"/>
        <v>6.0361561777369692</v>
      </c>
    </row>
    <row r="12" spans="1:12">
      <c r="A12" t="s">
        <v>13</v>
      </c>
      <c r="B12">
        <v>28.085000000000001</v>
      </c>
      <c r="C12" s="16">
        <v>2</v>
      </c>
      <c r="D12" s="16">
        <v>1</v>
      </c>
      <c r="E12">
        <f>B12*D12+B$17*C12</f>
        <v>60.082999999999998</v>
      </c>
      <c r="F12" s="18">
        <v>0.05</v>
      </c>
      <c r="G12" s="4">
        <f>F12/E12</f>
        <v>8.3218214802856054E-4</v>
      </c>
      <c r="H12" s="4">
        <f>G12*C12</f>
        <v>1.6643642960571211E-3</v>
      </c>
      <c r="I12" s="8">
        <f>$H12*H$23</f>
        <v>1.7322846825268735E-2</v>
      </c>
      <c r="J12" s="8">
        <f t="shared" si="7"/>
        <v>8.6614234126343673E-3</v>
      </c>
      <c r="K12" s="8">
        <f>$H12*J$23</f>
        <v>1.7293121345130655E-2</v>
      </c>
      <c r="L12" s="19">
        <f t="shared" si="6"/>
        <v>8.6465606725653274E-3</v>
      </c>
    </row>
    <row r="13" spans="1:12">
      <c r="C13" s="16"/>
      <c r="D13" s="16"/>
      <c r="F13" s="12"/>
      <c r="G13" s="4"/>
      <c r="H13" s="4"/>
      <c r="I13" s="22" t="s">
        <v>39</v>
      </c>
      <c r="J13" s="21">
        <f>SUM(J11:J12)</f>
        <v>6.0551932665364774</v>
      </c>
      <c r="K13" s="22" t="s">
        <v>39</v>
      </c>
      <c r="L13" s="20">
        <f>SUM(L11:L12)</f>
        <v>6.0448027384095342</v>
      </c>
    </row>
    <row r="14" spans="1:12">
      <c r="A14" t="s">
        <v>14</v>
      </c>
      <c r="B14">
        <v>18.998000000000001</v>
      </c>
      <c r="C14" s="16"/>
      <c r="D14" s="16">
        <v>1</v>
      </c>
      <c r="E14">
        <f>B14*D14+B$17*C14</f>
        <v>18.998000000000001</v>
      </c>
      <c r="F14" s="18">
        <v>0.08</v>
      </c>
      <c r="G14" s="4">
        <f>F14/E14</f>
        <v>4.2109695757448148E-3</v>
      </c>
      <c r="H14" s="4">
        <f>G14</f>
        <v>4.2109695757448148E-3</v>
      </c>
      <c r="I14" s="8">
        <f>$H14*H$23</f>
        <v>4.3828133732082164E-2</v>
      </c>
      <c r="J14" s="8">
        <f>I14</f>
        <v>4.3828133732082164E-2</v>
      </c>
      <c r="K14" s="8">
        <f>$H14*J$23</f>
        <v>4.3752925982923879E-2</v>
      </c>
      <c r="L14" s="19">
        <f>K14</f>
        <v>4.3752925982923879E-2</v>
      </c>
    </row>
    <row r="15" spans="1:12">
      <c r="A15" t="s">
        <v>15</v>
      </c>
      <c r="B15">
        <v>35.450000000000003</v>
      </c>
      <c r="C15" s="16"/>
      <c r="D15" s="16">
        <v>1</v>
      </c>
      <c r="E15">
        <f>B15*D15+B$17*C15</f>
        <v>35.450000000000003</v>
      </c>
      <c r="F15" s="18">
        <v>6.37</v>
      </c>
      <c r="G15" s="4">
        <f>F15/E15</f>
        <v>0.17968970380818053</v>
      </c>
      <c r="H15" s="4">
        <f>G15</f>
        <v>0.17968970380818053</v>
      </c>
      <c r="I15" s="8">
        <f>$H15*H$23</f>
        <v>1.8702259009767834</v>
      </c>
      <c r="J15" s="8">
        <f>I15</f>
        <v>1.8702259009767834</v>
      </c>
      <c r="K15" s="8">
        <f>$H15*J$23</f>
        <v>1.8670166500127838</v>
      </c>
      <c r="L15" s="19">
        <f>K15</f>
        <v>1.8670166500127838</v>
      </c>
    </row>
    <row r="16" spans="1:12">
      <c r="A16" t="s">
        <v>27</v>
      </c>
      <c r="B16">
        <v>1.008</v>
      </c>
      <c r="C16" s="16">
        <v>1</v>
      </c>
      <c r="D16" s="16">
        <v>1</v>
      </c>
      <c r="E16">
        <f>B16*D16+B$17*C16</f>
        <v>17.007000000000001</v>
      </c>
      <c r="F16" s="10"/>
      <c r="G16" s="4"/>
      <c r="H16" s="4"/>
      <c r="I16" s="8"/>
      <c r="J16" s="8"/>
      <c r="K16" s="8">
        <f>2-K14-K15</f>
        <v>8.9230424004292264E-2</v>
      </c>
      <c r="L16" s="19">
        <f>K16</f>
        <v>8.9230424004292264E-2</v>
      </c>
    </row>
    <row r="17" spans="1:12">
      <c r="A17" s="29" t="s">
        <v>18</v>
      </c>
      <c r="B17" s="29">
        <v>15.999000000000001</v>
      </c>
      <c r="C17" s="29"/>
      <c r="D17" s="29"/>
      <c r="E17" s="29"/>
      <c r="F17" s="30"/>
      <c r="G17" s="29"/>
      <c r="H17" s="29"/>
      <c r="I17" s="29"/>
      <c r="J17" s="29"/>
      <c r="K17" s="29"/>
      <c r="L17" s="29"/>
    </row>
    <row r="18" spans="1:12">
      <c r="D18" t="s">
        <v>41</v>
      </c>
      <c r="F18" s="5">
        <f>SUM(F3:F15)</f>
        <v>101.38999999999999</v>
      </c>
      <c r="G18" s="6"/>
      <c r="H18" s="6">
        <f>SUM(H3:H15)</f>
        <v>2.5900080828565475</v>
      </c>
      <c r="I18" s="8">
        <f>SUM(I3:I15)</f>
        <v>26.957027017354431</v>
      </c>
      <c r="J18" s="8"/>
      <c r="K18" s="8">
        <f>SUM(K3:K16)</f>
        <v>26.999999999999996</v>
      </c>
    </row>
    <row r="19" spans="1:12">
      <c r="E19" s="3" t="s">
        <v>24</v>
      </c>
      <c r="F19" s="2">
        <f>F14*$B$17/(2*$E14)</f>
        <v>3.3685651121170654E-2</v>
      </c>
      <c r="H19" s="7">
        <f>H14/2</f>
        <v>2.1054847878724074E-3</v>
      </c>
      <c r="K19" s="6"/>
      <c r="L19" s="6"/>
    </row>
    <row r="20" spans="1:12">
      <c r="E20" s="3" t="s">
        <v>25</v>
      </c>
      <c r="F20" s="2">
        <f>F15*$B$17/(2*$E15)</f>
        <v>1.4374277856135402</v>
      </c>
      <c r="H20" s="7">
        <f>H15/2</f>
        <v>8.9844851904090264E-2</v>
      </c>
    </row>
    <row r="21" spans="1:12">
      <c r="D21" t="s">
        <v>42</v>
      </c>
      <c r="F21" s="12">
        <f>F18-F19-F20</f>
        <v>99.918886563265275</v>
      </c>
      <c r="H21" s="6">
        <f>H18-H19-H20</f>
        <v>2.498057746164585</v>
      </c>
    </row>
    <row r="22" spans="1:12">
      <c r="G22" t="s">
        <v>26</v>
      </c>
      <c r="H22" t="s">
        <v>29</v>
      </c>
      <c r="I22" t="s">
        <v>34</v>
      </c>
      <c r="J22" t="s">
        <v>35</v>
      </c>
    </row>
    <row r="23" spans="1:12">
      <c r="G23" s="14">
        <v>26</v>
      </c>
      <c r="H23" s="2">
        <f>G23/$H21</f>
        <v>10.408086058026212</v>
      </c>
      <c r="I23" s="2">
        <f>26*(1-(27/I18-1)/(2*26/I18-1))</f>
        <v>25.955384787997854</v>
      </c>
      <c r="J23" s="2">
        <f>I23/$H21</f>
        <v>10.39022609779485</v>
      </c>
    </row>
    <row r="25" spans="1:12">
      <c r="K25" s="6"/>
      <c r="L25" s="2"/>
    </row>
    <row r="28" spans="1:12">
      <c r="I28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K22" sqref="K22"/>
    </sheetView>
  </sheetViews>
  <sheetFormatPr baseColWidth="10" defaultColWidth="8.83203125" defaultRowHeight="14" x14ac:dyDescent="0"/>
  <cols>
    <col min="1" max="1" width="7.1640625" customWidth="1"/>
    <col min="2" max="2" width="11.5" customWidth="1"/>
    <col min="3" max="4" width="6.6640625" customWidth="1"/>
    <col min="5" max="5" width="10.33203125" customWidth="1"/>
    <col min="6" max="6" width="13.1640625" customWidth="1"/>
    <col min="7" max="7" width="11.33203125" customWidth="1"/>
    <col min="10" max="10" width="11" customWidth="1"/>
    <col min="11" max="12" width="10.5" customWidth="1"/>
  </cols>
  <sheetData>
    <row r="1" spans="1:14" ht="17">
      <c r="A1" s="35" t="s">
        <v>53</v>
      </c>
    </row>
    <row r="2" spans="1:14">
      <c r="A2" s="1"/>
      <c r="B2" s="1" t="s">
        <v>20</v>
      </c>
      <c r="C2" s="1"/>
      <c r="D2" s="1"/>
      <c r="E2" s="1" t="s">
        <v>22</v>
      </c>
      <c r="F2" s="1" t="s">
        <v>30</v>
      </c>
      <c r="G2" s="1" t="s">
        <v>30</v>
      </c>
      <c r="H2" s="1" t="s">
        <v>30</v>
      </c>
      <c r="I2" s="1" t="s">
        <v>0</v>
      </c>
      <c r="J2" s="1" t="s">
        <v>16</v>
      </c>
      <c r="K2" s="9" t="s">
        <v>26</v>
      </c>
      <c r="L2" s="9" t="s">
        <v>32</v>
      </c>
      <c r="M2" s="9" t="s">
        <v>28</v>
      </c>
      <c r="N2" s="9" t="s">
        <v>32</v>
      </c>
    </row>
    <row r="3" spans="1:14">
      <c r="A3" s="28" t="s">
        <v>1</v>
      </c>
      <c r="B3" s="28" t="s">
        <v>21</v>
      </c>
      <c r="C3" s="28" t="s">
        <v>18</v>
      </c>
      <c r="D3" s="28" t="s">
        <v>19</v>
      </c>
      <c r="E3" s="28" t="s">
        <v>2</v>
      </c>
      <c r="F3" s="28" t="s">
        <v>23</v>
      </c>
      <c r="G3" s="28" t="s">
        <v>21</v>
      </c>
      <c r="H3" s="28" t="s">
        <v>31</v>
      </c>
      <c r="I3" s="28" t="s">
        <v>4</v>
      </c>
      <c r="J3" s="28" t="s">
        <v>17</v>
      </c>
      <c r="K3" s="28" t="s">
        <v>33</v>
      </c>
      <c r="L3" s="28" t="s">
        <v>33</v>
      </c>
      <c r="M3" s="31" t="s">
        <v>44</v>
      </c>
      <c r="N3" s="31" t="s">
        <v>44</v>
      </c>
    </row>
    <row r="4" spans="1:14">
      <c r="A4" t="s">
        <v>13</v>
      </c>
      <c r="B4">
        <v>28.085000000000001</v>
      </c>
      <c r="C4" s="16">
        <v>2</v>
      </c>
      <c r="D4" s="16">
        <v>1</v>
      </c>
      <c r="E4">
        <f t="shared" ref="E4:E11" si="0">B4*D4+B$16*C4</f>
        <v>60.082999999999998</v>
      </c>
      <c r="F4" s="32">
        <v>6</v>
      </c>
      <c r="G4">
        <f t="shared" ref="G4:G11" si="1">F4*E4</f>
        <v>360.49799999999999</v>
      </c>
      <c r="H4" s="10">
        <f t="shared" ref="H4:H11" si="2">G4/G$20</f>
        <v>0.42487502063984772</v>
      </c>
      <c r="I4" s="4">
        <f t="shared" ref="I4:I11" si="3">H4/E4</f>
        <v>7.0714681463949491E-3</v>
      </c>
      <c r="J4" s="4">
        <f t="shared" ref="J4:J11" si="4">I4*C4</f>
        <v>1.4142936292789898E-2</v>
      </c>
      <c r="K4">
        <f t="shared" ref="K4:K11" si="5">$J4*J$22</f>
        <v>12.25531914893617</v>
      </c>
      <c r="L4">
        <f>K4*$D4/$C4</f>
        <v>6.1276595744680851</v>
      </c>
      <c r="M4">
        <f t="shared" ref="M4:M11" si="6">$J4*L$22</f>
        <v>11.999999999999998</v>
      </c>
      <c r="N4" s="33">
        <f>M4*$D4/$C4</f>
        <v>5.9999999999999991</v>
      </c>
    </row>
    <row r="5" spans="1:14">
      <c r="A5" t="s">
        <v>56</v>
      </c>
      <c r="B5">
        <v>26.9815</v>
      </c>
      <c r="C5" s="16">
        <v>3</v>
      </c>
      <c r="D5" s="16">
        <v>2</v>
      </c>
      <c r="E5">
        <f t="shared" si="0"/>
        <v>101.96000000000001</v>
      </c>
      <c r="F5" s="15">
        <v>1</v>
      </c>
      <c r="G5">
        <f t="shared" si="1"/>
        <v>101.96000000000001</v>
      </c>
      <c r="H5" s="10">
        <f t="shared" si="2"/>
        <v>0.12016781536773817</v>
      </c>
      <c r="I5" s="4">
        <f t="shared" si="3"/>
        <v>1.178578024399158E-3</v>
      </c>
      <c r="J5" s="4">
        <f t="shared" si="4"/>
        <v>3.5357340731974741E-3</v>
      </c>
      <c r="K5">
        <f t="shared" si="5"/>
        <v>3.0638297872340421</v>
      </c>
      <c r="L5">
        <f t="shared" ref="L5:L11" si="7">K5*$D5/$C5</f>
        <v>2.0425531914893615</v>
      </c>
      <c r="M5">
        <f t="shared" si="6"/>
        <v>2.9999999999999996</v>
      </c>
      <c r="N5" s="13">
        <f t="shared" ref="N5:N11" si="8">M5*$D5/$C5</f>
        <v>1.9999999999999998</v>
      </c>
    </row>
    <row r="6" spans="1:14">
      <c r="A6" t="s">
        <v>57</v>
      </c>
      <c r="B6">
        <v>47.866999999999997</v>
      </c>
      <c r="C6" s="16">
        <v>2</v>
      </c>
      <c r="D6" s="16">
        <v>1</v>
      </c>
      <c r="E6">
        <f t="shared" si="0"/>
        <v>79.864999999999995</v>
      </c>
      <c r="F6" s="15"/>
      <c r="G6">
        <f t="shared" si="1"/>
        <v>0</v>
      </c>
      <c r="H6" s="10">
        <f t="shared" si="2"/>
        <v>0</v>
      </c>
      <c r="I6" s="4">
        <f t="shared" si="3"/>
        <v>0</v>
      </c>
      <c r="J6" s="4">
        <f t="shared" si="4"/>
        <v>0</v>
      </c>
      <c r="K6">
        <f t="shared" si="5"/>
        <v>0</v>
      </c>
      <c r="L6">
        <f t="shared" si="7"/>
        <v>0</v>
      </c>
      <c r="M6">
        <f t="shared" si="6"/>
        <v>0</v>
      </c>
      <c r="N6" s="13">
        <f t="shared" si="8"/>
        <v>0</v>
      </c>
    </row>
    <row r="7" spans="1:14">
      <c r="A7" t="s">
        <v>11</v>
      </c>
      <c r="B7">
        <v>55.844999999999999</v>
      </c>
      <c r="C7" s="16">
        <v>1</v>
      </c>
      <c r="D7" s="16">
        <v>1</v>
      </c>
      <c r="E7">
        <f t="shared" si="0"/>
        <v>71.843999999999994</v>
      </c>
      <c r="F7" s="15"/>
      <c r="G7">
        <f t="shared" si="1"/>
        <v>0</v>
      </c>
      <c r="H7" s="10">
        <f t="shared" si="2"/>
        <v>0</v>
      </c>
      <c r="I7" s="4">
        <f t="shared" si="3"/>
        <v>0</v>
      </c>
      <c r="J7" s="4">
        <f t="shared" si="4"/>
        <v>0</v>
      </c>
      <c r="K7">
        <f t="shared" si="5"/>
        <v>0</v>
      </c>
      <c r="L7">
        <f t="shared" si="7"/>
        <v>0</v>
      </c>
      <c r="M7">
        <f t="shared" si="6"/>
        <v>0</v>
      </c>
      <c r="N7" s="13">
        <f t="shared" si="8"/>
        <v>0</v>
      </c>
    </row>
    <row r="8" spans="1:14">
      <c r="A8" t="s">
        <v>10</v>
      </c>
      <c r="B8">
        <v>54.938000000000002</v>
      </c>
      <c r="C8" s="16">
        <v>1</v>
      </c>
      <c r="D8" s="16">
        <v>1</v>
      </c>
      <c r="E8">
        <f t="shared" si="0"/>
        <v>70.936999999999998</v>
      </c>
      <c r="F8" s="15"/>
      <c r="G8">
        <f t="shared" si="1"/>
        <v>0</v>
      </c>
      <c r="H8" s="10">
        <f t="shared" si="2"/>
        <v>0</v>
      </c>
      <c r="I8" s="4">
        <f t="shared" si="3"/>
        <v>0</v>
      </c>
      <c r="J8" s="4">
        <f t="shared" si="4"/>
        <v>0</v>
      </c>
      <c r="K8">
        <f t="shared" si="5"/>
        <v>0</v>
      </c>
      <c r="L8">
        <f t="shared" si="7"/>
        <v>0</v>
      </c>
      <c r="M8">
        <f t="shared" si="6"/>
        <v>0</v>
      </c>
      <c r="N8" s="13">
        <f t="shared" si="8"/>
        <v>0</v>
      </c>
    </row>
    <row r="9" spans="1:14">
      <c r="A9" t="s">
        <v>55</v>
      </c>
      <c r="B9">
        <v>24.305</v>
      </c>
      <c r="C9" s="16">
        <v>1</v>
      </c>
      <c r="D9" s="16">
        <v>1</v>
      </c>
      <c r="E9">
        <f t="shared" si="0"/>
        <v>40.304000000000002</v>
      </c>
      <c r="F9" s="15">
        <v>6</v>
      </c>
      <c r="G9">
        <f t="shared" si="1"/>
        <v>241.82400000000001</v>
      </c>
      <c r="H9" s="10">
        <f t="shared" si="2"/>
        <v>0.28500845217230203</v>
      </c>
      <c r="I9" s="4">
        <f t="shared" si="3"/>
        <v>7.0714681463949491E-3</v>
      </c>
      <c r="J9" s="4">
        <f t="shared" si="4"/>
        <v>7.0714681463949491E-3</v>
      </c>
      <c r="K9">
        <f t="shared" si="5"/>
        <v>6.1276595744680851</v>
      </c>
      <c r="L9">
        <f t="shared" si="7"/>
        <v>6.1276595744680851</v>
      </c>
      <c r="M9">
        <f t="shared" si="6"/>
        <v>5.9999999999999991</v>
      </c>
      <c r="N9" s="13">
        <f t="shared" si="8"/>
        <v>5.9999999999999991</v>
      </c>
    </row>
    <row r="10" spans="1:14">
      <c r="A10" t="s">
        <v>7</v>
      </c>
      <c r="B10">
        <v>22.989799999999999</v>
      </c>
      <c r="C10" s="16">
        <v>1</v>
      </c>
      <c r="D10" s="16">
        <v>2</v>
      </c>
      <c r="E10">
        <f t="shared" si="0"/>
        <v>61.9786</v>
      </c>
      <c r="F10" s="15"/>
      <c r="G10">
        <f t="shared" si="1"/>
        <v>0</v>
      </c>
      <c r="H10" s="10">
        <f t="shared" si="2"/>
        <v>0</v>
      </c>
      <c r="I10" s="4">
        <f t="shared" si="3"/>
        <v>0</v>
      </c>
      <c r="J10" s="4">
        <f t="shared" si="4"/>
        <v>0</v>
      </c>
      <c r="K10">
        <f t="shared" si="5"/>
        <v>0</v>
      </c>
      <c r="L10">
        <f t="shared" si="7"/>
        <v>0</v>
      </c>
      <c r="M10">
        <f t="shared" si="6"/>
        <v>0</v>
      </c>
      <c r="N10" s="13">
        <f t="shared" si="8"/>
        <v>0</v>
      </c>
    </row>
    <row r="11" spans="1:14">
      <c r="A11" t="s">
        <v>54</v>
      </c>
      <c r="B11">
        <v>39.098300000000002</v>
      </c>
      <c r="C11" s="16">
        <v>1</v>
      </c>
      <c r="D11" s="16">
        <v>2</v>
      </c>
      <c r="E11">
        <f t="shared" si="0"/>
        <v>94.195599999999999</v>
      </c>
      <c r="F11" s="15">
        <v>1</v>
      </c>
      <c r="G11">
        <f t="shared" si="1"/>
        <v>94.195599999999999</v>
      </c>
      <c r="H11" s="10">
        <f t="shared" si="2"/>
        <v>0.11101686415509333</v>
      </c>
      <c r="I11" s="4">
        <f t="shared" si="3"/>
        <v>1.178578024399158E-3</v>
      </c>
      <c r="J11" s="4">
        <f t="shared" si="4"/>
        <v>1.178578024399158E-3</v>
      </c>
      <c r="K11">
        <f t="shared" si="5"/>
        <v>1.0212765957446808</v>
      </c>
      <c r="L11">
        <f t="shared" si="7"/>
        <v>2.0425531914893615</v>
      </c>
      <c r="M11">
        <f t="shared" si="6"/>
        <v>0.99999999999999978</v>
      </c>
      <c r="N11" s="13">
        <f t="shared" si="8"/>
        <v>1.9999999999999996</v>
      </c>
    </row>
    <row r="12" spans="1:14">
      <c r="C12" s="16"/>
      <c r="D12" s="16"/>
      <c r="F12" s="16"/>
      <c r="H12" s="10"/>
      <c r="I12" s="4"/>
      <c r="J12" s="4"/>
      <c r="L12" s="21">
        <f>SUM(L4:L11)</f>
        <v>16.340425531914892</v>
      </c>
      <c r="N12" s="20">
        <f>SUM(N4:N11)</f>
        <v>15.999999999999998</v>
      </c>
    </row>
    <row r="13" spans="1:14">
      <c r="A13" t="s">
        <v>14</v>
      </c>
      <c r="B13">
        <v>18.998000000000001</v>
      </c>
      <c r="C13" s="16"/>
      <c r="D13" s="16">
        <v>1</v>
      </c>
      <c r="E13">
        <f>B13*D13+B$16*C13</f>
        <v>18.998000000000001</v>
      </c>
      <c r="F13" s="15">
        <v>3</v>
      </c>
      <c r="G13">
        <f>F13*E13</f>
        <v>56.994</v>
      </c>
      <c r="H13" s="10">
        <f>G13/G$20</f>
        <v>6.7171875922605623E-2</v>
      </c>
      <c r="I13" s="4">
        <f>H13/E13</f>
        <v>3.5357340731974746E-3</v>
      </c>
      <c r="J13" s="4">
        <f>I13</f>
        <v>3.5357340731974746E-3</v>
      </c>
      <c r="K13" s="5">
        <f>$J13*J$22</f>
        <v>3.0638297872340425</v>
      </c>
      <c r="L13">
        <f>K13</f>
        <v>3.0638297872340425</v>
      </c>
      <c r="M13">
        <f>$J13*L$22</f>
        <v>2.9999999999999996</v>
      </c>
      <c r="N13" s="13">
        <f>M13</f>
        <v>2.9999999999999996</v>
      </c>
    </row>
    <row r="14" spans="1:14">
      <c r="A14" t="s">
        <v>15</v>
      </c>
      <c r="B14">
        <v>35.450000000000003</v>
      </c>
      <c r="C14" s="16"/>
      <c r="D14" s="16">
        <v>1</v>
      </c>
      <c r="E14">
        <f>B14*D14+B$16*C14</f>
        <v>35.450000000000003</v>
      </c>
      <c r="F14" s="15">
        <v>0</v>
      </c>
      <c r="G14">
        <f>F14*E14</f>
        <v>0</v>
      </c>
      <c r="H14" s="10">
        <f>G14/G$20</f>
        <v>0</v>
      </c>
      <c r="I14" s="4">
        <f>H14/E14</f>
        <v>0</v>
      </c>
      <c r="J14" s="4">
        <f>I14</f>
        <v>0</v>
      </c>
      <c r="K14">
        <f>$J14*J$22</f>
        <v>0</v>
      </c>
      <c r="L14">
        <f>K14</f>
        <v>0</v>
      </c>
      <c r="M14">
        <f>$J14*L$22</f>
        <v>0</v>
      </c>
      <c r="N14" s="13">
        <f>M14</f>
        <v>0</v>
      </c>
    </row>
    <row r="15" spans="1:14">
      <c r="A15" t="s">
        <v>27</v>
      </c>
      <c r="B15">
        <v>1.008</v>
      </c>
      <c r="C15" s="16">
        <v>1</v>
      </c>
      <c r="D15" s="16">
        <v>1</v>
      </c>
      <c r="E15">
        <f>B15*D15+B$16*C15</f>
        <v>17.007000000000001</v>
      </c>
      <c r="F15" s="17">
        <f>4-F13-F14</f>
        <v>1</v>
      </c>
      <c r="G15">
        <f>F15*E15</f>
        <v>17.007000000000001</v>
      </c>
      <c r="H15" s="38">
        <f>G15/G$20</f>
        <v>2.0044076460956486E-2</v>
      </c>
      <c r="I15" s="4">
        <f>H15/E15</f>
        <v>1.1785780243991583E-3</v>
      </c>
      <c r="J15" s="4"/>
      <c r="L15">
        <f>4-L13-L14</f>
        <v>0.93617021276595747</v>
      </c>
      <c r="M15">
        <f>4-M13-M14</f>
        <v>1.0000000000000004</v>
      </c>
      <c r="N15" s="13">
        <f>M15</f>
        <v>1.0000000000000004</v>
      </c>
    </row>
    <row r="16" spans="1:14">
      <c r="A16" s="29" t="s">
        <v>18</v>
      </c>
      <c r="B16" s="29">
        <v>15.999000000000001</v>
      </c>
      <c r="C16" s="29"/>
      <c r="D16" s="29"/>
      <c r="E16" s="29"/>
      <c r="F16" s="34"/>
      <c r="G16" s="29"/>
      <c r="H16" s="30"/>
      <c r="I16" s="29"/>
      <c r="J16" s="29"/>
      <c r="K16" s="29"/>
      <c r="L16" s="29"/>
      <c r="M16" s="29"/>
      <c r="N16" s="29"/>
    </row>
    <row r="17" spans="5:14" ht="16">
      <c r="E17" t="s">
        <v>41</v>
      </c>
      <c r="F17" s="16"/>
      <c r="H17" s="11">
        <f>SUM(H4:H14)</f>
        <v>1.0082400282575867</v>
      </c>
      <c r="I17" s="36" t="s">
        <v>46</v>
      </c>
      <c r="J17" s="6">
        <f>SUM(J4:J14)</f>
        <v>2.9464450609978956E-2</v>
      </c>
      <c r="K17" s="8">
        <f>SUM(K4:K14)</f>
        <v>25.531914893617021</v>
      </c>
      <c r="L17" s="6"/>
      <c r="M17" s="8">
        <f>SUM(M4:M15)</f>
        <v>25.999999999999996</v>
      </c>
    </row>
    <row r="18" spans="5:14">
      <c r="F18" s="3" t="s">
        <v>24</v>
      </c>
      <c r="G18">
        <f>-$B$16*$F13/2</f>
        <v>-23.9985</v>
      </c>
      <c r="H18">
        <f>H13*$B$16/(2*$E13)</f>
        <v>2.8284104718543195E-2</v>
      </c>
      <c r="J18" s="6">
        <f>J13/2</f>
        <v>1.7678670365987373E-3</v>
      </c>
      <c r="M18" s="6"/>
      <c r="N18" s="6"/>
    </row>
    <row r="19" spans="5:14">
      <c r="F19" s="3" t="s">
        <v>25</v>
      </c>
      <c r="G19">
        <f>-$B$16*$F14/2</f>
        <v>0</v>
      </c>
      <c r="H19">
        <f>H14*$B$16/(2*$E14)</f>
        <v>0</v>
      </c>
      <c r="J19" s="6">
        <f>J14/2</f>
        <v>0</v>
      </c>
    </row>
    <row r="20" spans="5:14" ht="16">
      <c r="E20" t="s">
        <v>42</v>
      </c>
      <c r="F20" s="16"/>
      <c r="G20">
        <f>SUM(G4:G19)</f>
        <v>848.48009999999988</v>
      </c>
      <c r="H20" s="10">
        <f>H17-H18-H19</f>
        <v>0.97995592353904359</v>
      </c>
      <c r="I20" s="36" t="s">
        <v>47</v>
      </c>
      <c r="J20" s="6">
        <f>J17-J18-J19</f>
        <v>2.7696583573380219E-2</v>
      </c>
    </row>
    <row r="21" spans="5:14">
      <c r="I21" t="s">
        <v>26</v>
      </c>
      <c r="J21" t="s">
        <v>29</v>
      </c>
      <c r="K21" t="s">
        <v>34</v>
      </c>
      <c r="L21" t="s">
        <v>35</v>
      </c>
    </row>
    <row r="22" spans="5:14">
      <c r="I22" s="14">
        <v>24</v>
      </c>
      <c r="J22" s="2">
        <f>I22/$J20</f>
        <v>866.5328680851062</v>
      </c>
      <c r="K22" s="20">
        <f>24*(1-(26/K17-1)/(2*24/K17-1))</f>
        <v>23.5</v>
      </c>
      <c r="L22" s="2">
        <f>K22/$J20</f>
        <v>848.48009999999977</v>
      </c>
    </row>
    <row r="24" spans="5:14">
      <c r="M24" s="6"/>
      <c r="N24" s="2"/>
    </row>
    <row r="27" spans="5:14">
      <c r="K27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J7" sqref="J7"/>
    </sheetView>
  </sheetViews>
  <sheetFormatPr baseColWidth="10" defaultColWidth="8.83203125" defaultRowHeight="14" x14ac:dyDescent="0"/>
  <cols>
    <col min="1" max="1" width="7.5" customWidth="1"/>
    <col min="2" max="2" width="10.6640625" customWidth="1"/>
    <col min="3" max="4" width="6.6640625" customWidth="1"/>
    <col min="5" max="5" width="9.83203125" customWidth="1"/>
    <col min="6" max="6" width="10" customWidth="1"/>
    <col min="7" max="7" width="9.83203125" customWidth="1"/>
    <col min="8" max="9" width="10.5" customWidth="1"/>
  </cols>
  <sheetData>
    <row r="1" spans="1:12" ht="17">
      <c r="A1" s="35" t="s">
        <v>53</v>
      </c>
    </row>
    <row r="2" spans="1:12">
      <c r="A2" s="1"/>
      <c r="B2" s="1" t="s">
        <v>20</v>
      </c>
      <c r="C2" s="1"/>
      <c r="D2" s="1"/>
      <c r="E2" s="1" t="s">
        <v>22</v>
      </c>
      <c r="F2" s="1" t="s">
        <v>36</v>
      </c>
      <c r="G2" s="1" t="s">
        <v>0</v>
      </c>
      <c r="H2" s="1" t="s">
        <v>16</v>
      </c>
      <c r="I2" s="9" t="s">
        <v>26</v>
      </c>
      <c r="J2" s="9" t="s">
        <v>32</v>
      </c>
    </row>
    <row r="3" spans="1:12">
      <c r="A3" s="28" t="s">
        <v>1</v>
      </c>
      <c r="B3" s="28" t="s">
        <v>21</v>
      </c>
      <c r="C3" s="28" t="s">
        <v>18</v>
      </c>
      <c r="D3" s="28" t="s">
        <v>19</v>
      </c>
      <c r="E3" s="28" t="s">
        <v>2</v>
      </c>
      <c r="F3" s="28" t="s">
        <v>31</v>
      </c>
      <c r="G3" s="28" t="s">
        <v>4</v>
      </c>
      <c r="H3" s="28" t="s">
        <v>17</v>
      </c>
      <c r="I3" s="28" t="s">
        <v>33</v>
      </c>
      <c r="J3" s="28" t="s">
        <v>33</v>
      </c>
    </row>
    <row r="4" spans="1:12">
      <c r="A4" t="s">
        <v>13</v>
      </c>
      <c r="B4">
        <v>28.085000000000001</v>
      </c>
      <c r="C4" s="16">
        <v>2</v>
      </c>
      <c r="D4" s="16">
        <v>1</v>
      </c>
      <c r="E4">
        <f>B4*D4+B$16*C4</f>
        <v>60.082999999999998</v>
      </c>
      <c r="F4" s="25">
        <v>41.18</v>
      </c>
      <c r="G4" s="23">
        <f t="shared" ref="G4:G10" si="0">F4/E4</f>
        <v>0.68538521711632239</v>
      </c>
      <c r="H4" s="23">
        <f t="shared" ref="H4:H10" si="1">G4*C4</f>
        <v>1.3707704342326448</v>
      </c>
      <c r="I4" s="8">
        <f t="shared" ref="I4:I11" si="2">$H4*I$21</f>
        <v>11.655401286434161</v>
      </c>
      <c r="J4" s="27">
        <f t="shared" ref="J4:J10" si="3">I4*$D4/$C4</f>
        <v>5.8277006432170806</v>
      </c>
      <c r="L4" s="2"/>
    </row>
    <row r="5" spans="1:12">
      <c r="A5" t="s">
        <v>56</v>
      </c>
      <c r="B5">
        <v>26.9815</v>
      </c>
      <c r="C5" s="16">
        <v>3</v>
      </c>
      <c r="D5" s="16">
        <v>2</v>
      </c>
      <c r="E5">
        <f t="shared" ref="E5:E11" si="4">B5*D5+B$16*C5</f>
        <v>101.96000000000001</v>
      </c>
      <c r="F5" s="18">
        <v>12.52</v>
      </c>
      <c r="G5" s="23">
        <f t="shared" si="0"/>
        <v>0.12279325225578656</v>
      </c>
      <c r="H5" s="23">
        <f t="shared" si="1"/>
        <v>0.36837975676735968</v>
      </c>
      <c r="I5" s="8">
        <f t="shared" si="2"/>
        <v>3.1322632759628681</v>
      </c>
      <c r="J5" s="19">
        <f t="shared" si="3"/>
        <v>2.0881755173085788</v>
      </c>
      <c r="L5" s="2"/>
    </row>
    <row r="6" spans="1:12">
      <c r="A6" t="s">
        <v>57</v>
      </c>
      <c r="B6">
        <v>47.866999999999997</v>
      </c>
      <c r="C6" s="16">
        <v>2</v>
      </c>
      <c r="D6" s="16">
        <v>1</v>
      </c>
      <c r="E6">
        <f t="shared" si="4"/>
        <v>79.864999999999995</v>
      </c>
      <c r="F6" s="18">
        <v>0.99</v>
      </c>
      <c r="G6" s="23">
        <f t="shared" si="0"/>
        <v>1.2395918111813686E-2</v>
      </c>
      <c r="H6" s="23">
        <f t="shared" si="1"/>
        <v>2.4791836223627371E-2</v>
      </c>
      <c r="I6" s="8">
        <f t="shared" si="2"/>
        <v>0.21080028617314772</v>
      </c>
      <c r="J6" s="19">
        <f t="shared" si="3"/>
        <v>0.10540014308657386</v>
      </c>
      <c r="L6" s="2"/>
    </row>
    <row r="7" spans="1:12">
      <c r="A7" t="s">
        <v>11</v>
      </c>
      <c r="B7">
        <v>55.844999999999999</v>
      </c>
      <c r="C7" s="16">
        <v>1</v>
      </c>
      <c r="D7" s="16">
        <v>1</v>
      </c>
      <c r="E7">
        <f t="shared" si="4"/>
        <v>71.843999999999994</v>
      </c>
      <c r="F7" s="18">
        <v>0.3</v>
      </c>
      <c r="G7" s="23">
        <f t="shared" si="0"/>
        <v>4.1757140471020545E-3</v>
      </c>
      <c r="H7" s="23">
        <f t="shared" si="1"/>
        <v>4.1757140471020545E-3</v>
      </c>
      <c r="I7" s="8">
        <f t="shared" si="2"/>
        <v>3.5505305382239047E-2</v>
      </c>
      <c r="J7" s="19">
        <f t="shared" si="3"/>
        <v>3.5505305382239047E-2</v>
      </c>
      <c r="L7" s="2"/>
    </row>
    <row r="8" spans="1:12">
      <c r="A8" t="s">
        <v>10</v>
      </c>
      <c r="B8">
        <v>54.938000000000002</v>
      </c>
      <c r="C8" s="16">
        <v>1</v>
      </c>
      <c r="D8" s="16">
        <v>1</v>
      </c>
      <c r="E8">
        <f t="shared" si="4"/>
        <v>70.936999999999998</v>
      </c>
      <c r="F8" s="18">
        <v>0.04</v>
      </c>
      <c r="G8" s="23">
        <f t="shared" si="0"/>
        <v>5.6388062647137608E-4</v>
      </c>
      <c r="H8" s="23">
        <f t="shared" si="1"/>
        <v>5.6388062647137608E-4</v>
      </c>
      <c r="I8" s="8">
        <f t="shared" si="2"/>
        <v>4.7945701300808373E-3</v>
      </c>
      <c r="J8" s="19">
        <f t="shared" si="3"/>
        <v>4.7945701300808373E-3</v>
      </c>
      <c r="L8" s="2"/>
    </row>
    <row r="9" spans="1:12">
      <c r="A9" t="s">
        <v>55</v>
      </c>
      <c r="B9">
        <v>24.305</v>
      </c>
      <c r="C9" s="16">
        <v>1</v>
      </c>
      <c r="D9" s="16">
        <v>1</v>
      </c>
      <c r="E9">
        <f t="shared" si="4"/>
        <v>40.304000000000002</v>
      </c>
      <c r="F9" s="18">
        <v>27.32</v>
      </c>
      <c r="G9" s="23">
        <f t="shared" si="0"/>
        <v>0.67784835252084152</v>
      </c>
      <c r="H9" s="23">
        <f t="shared" si="1"/>
        <v>0.67784835252084152</v>
      </c>
      <c r="I9" s="8">
        <f t="shared" si="2"/>
        <v>5.7636161115492932</v>
      </c>
      <c r="J9" s="19">
        <f t="shared" si="3"/>
        <v>5.7636161115492932</v>
      </c>
      <c r="L9" s="2"/>
    </row>
    <row r="10" spans="1:12">
      <c r="A10" t="s">
        <v>7</v>
      </c>
      <c r="B10">
        <v>22.989799999999999</v>
      </c>
      <c r="C10" s="16">
        <v>1</v>
      </c>
      <c r="D10" s="16">
        <v>2</v>
      </c>
      <c r="E10">
        <f t="shared" si="4"/>
        <v>61.9786</v>
      </c>
      <c r="F10" s="18">
        <v>0.88</v>
      </c>
      <c r="G10" s="23">
        <f t="shared" si="0"/>
        <v>1.4198449142123249E-2</v>
      </c>
      <c r="H10" s="23">
        <f t="shared" si="1"/>
        <v>1.4198449142123249E-2</v>
      </c>
      <c r="I10" s="8">
        <f t="shared" si="2"/>
        <v>0.12072672291703869</v>
      </c>
      <c r="J10" s="19">
        <f t="shared" si="3"/>
        <v>0.24145344583407738</v>
      </c>
      <c r="L10" s="2"/>
    </row>
    <row r="11" spans="1:12">
      <c r="A11" t="s">
        <v>54</v>
      </c>
      <c r="B11">
        <v>39.098300000000002</v>
      </c>
      <c r="C11" s="16">
        <v>1</v>
      </c>
      <c r="D11" s="16">
        <v>2</v>
      </c>
      <c r="E11">
        <f t="shared" si="4"/>
        <v>94.195599999999999</v>
      </c>
      <c r="F11" s="18">
        <v>11.93</v>
      </c>
      <c r="G11" s="23">
        <f t="shared" ref="G11" si="5">F11/E11</f>
        <v>0.1266513510185189</v>
      </c>
      <c r="H11" s="23">
        <f t="shared" ref="H11" si="6">G11*C11</f>
        <v>0.1266513510185189</v>
      </c>
      <c r="I11" s="8">
        <f t="shared" si="2"/>
        <v>1.0768924414511674</v>
      </c>
      <c r="J11" s="19">
        <f t="shared" ref="J11" si="7">I11*$D11/$C11</f>
        <v>2.1537848829023347</v>
      </c>
      <c r="L11" s="2"/>
    </row>
    <row r="12" spans="1:12">
      <c r="C12" s="16"/>
      <c r="D12" s="16"/>
      <c r="F12" s="12"/>
      <c r="G12" s="23"/>
      <c r="H12" s="23"/>
      <c r="I12" s="22" t="s">
        <v>39</v>
      </c>
      <c r="J12" s="20">
        <f>SUM(J4:J11)</f>
        <v>16.220430619410259</v>
      </c>
      <c r="L12" s="2"/>
    </row>
    <row r="13" spans="1:12">
      <c r="A13" t="s">
        <v>14</v>
      </c>
      <c r="B13">
        <v>18.998000000000001</v>
      </c>
      <c r="C13" s="16"/>
      <c r="D13" s="16">
        <v>1</v>
      </c>
      <c r="E13">
        <f>B13*D13+B$16*C13</f>
        <v>18.998000000000001</v>
      </c>
      <c r="F13" s="18">
        <v>6.74</v>
      </c>
      <c r="G13" s="23">
        <f>F13/E13</f>
        <v>0.35477418675650069</v>
      </c>
      <c r="H13" s="23">
        <f>G13</f>
        <v>0.35477418675650069</v>
      </c>
      <c r="I13" s="8">
        <f>$H13*I$21</f>
        <v>3.0165776919679024</v>
      </c>
      <c r="J13" s="19">
        <f>I13</f>
        <v>3.0165776919679024</v>
      </c>
      <c r="L13" s="2"/>
    </row>
    <row r="14" spans="1:12">
      <c r="A14" t="s">
        <v>15</v>
      </c>
      <c r="B14">
        <v>35.450000000000003</v>
      </c>
      <c r="C14" s="16"/>
      <c r="D14" s="16">
        <v>1</v>
      </c>
      <c r="E14">
        <f>B14*D14+B$16*C14</f>
        <v>35.450000000000003</v>
      </c>
      <c r="F14" s="18">
        <v>0</v>
      </c>
      <c r="G14" s="23">
        <f>F14/E14</f>
        <v>0</v>
      </c>
      <c r="H14" s="23">
        <f>G14</f>
        <v>0</v>
      </c>
      <c r="I14" s="8">
        <f>$H14*I$21</f>
        <v>0</v>
      </c>
      <c r="J14" s="19">
        <f>I14</f>
        <v>0</v>
      </c>
      <c r="L14" s="2"/>
    </row>
    <row r="15" spans="1:12">
      <c r="A15" t="s">
        <v>27</v>
      </c>
      <c r="B15">
        <v>1.008</v>
      </c>
      <c r="C15" s="16">
        <v>1</v>
      </c>
      <c r="D15" s="16">
        <v>1</v>
      </c>
      <c r="E15">
        <f>B15*D15+B$16*C15</f>
        <v>17.007000000000001</v>
      </c>
      <c r="F15" s="10"/>
      <c r="G15" s="4"/>
      <c r="H15" s="4"/>
      <c r="I15" s="8"/>
      <c r="J15" s="19">
        <f>4-J13-J14</f>
        <v>0.98342230803209763</v>
      </c>
      <c r="L15" s="2"/>
    </row>
    <row r="16" spans="1:12">
      <c r="A16" s="29" t="s">
        <v>18</v>
      </c>
      <c r="B16" s="29">
        <v>15.999000000000001</v>
      </c>
      <c r="C16" s="29"/>
      <c r="D16" s="29"/>
      <c r="E16" s="29"/>
      <c r="F16" s="30"/>
      <c r="G16" s="29"/>
      <c r="H16" s="29"/>
      <c r="I16" s="29"/>
      <c r="J16" s="29"/>
    </row>
    <row r="17" spans="4:10" ht="16">
      <c r="D17" t="s">
        <v>38</v>
      </c>
      <c r="F17" s="5">
        <f>SUM(F4:F14)</f>
        <v>101.89999999999999</v>
      </c>
      <c r="G17" s="36" t="s">
        <v>48</v>
      </c>
      <c r="H17" s="6">
        <f>SUM(H4:H11)</f>
        <v>2.5873797745786895</v>
      </c>
      <c r="I17" s="8"/>
      <c r="J17" s="6"/>
    </row>
    <row r="18" spans="4:10">
      <c r="E18" s="3" t="s">
        <v>24</v>
      </c>
      <c r="F18" s="2">
        <f>F13*$B$16/(2*$E13)</f>
        <v>2.8380161069586274</v>
      </c>
      <c r="H18" s="7"/>
      <c r="I18" s="8"/>
    </row>
    <row r="19" spans="4:10">
      <c r="E19" s="3" t="s">
        <v>25</v>
      </c>
      <c r="F19" s="2">
        <f>F14*$B$16/(2*$E14)</f>
        <v>0</v>
      </c>
      <c r="H19" s="7"/>
      <c r="I19" s="8"/>
    </row>
    <row r="20" spans="4:10">
      <c r="D20" t="s">
        <v>37</v>
      </c>
      <c r="F20" s="12">
        <f>F17-F18-F19</f>
        <v>99.061983893041358</v>
      </c>
      <c r="H20" s="7"/>
      <c r="I20" s="8"/>
    </row>
    <row r="21" spans="4:10">
      <c r="E21" s="3"/>
      <c r="F21" s="2"/>
      <c r="H21" t="s">
        <v>29</v>
      </c>
      <c r="I21" s="2">
        <f>22/H17</f>
        <v>8.5028105329386072</v>
      </c>
    </row>
    <row r="22" spans="4:10">
      <c r="H22" s="2"/>
      <c r="I22" s="2"/>
    </row>
    <row r="25" spans="4:10">
      <c r="H25" s="6"/>
    </row>
  </sheetData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Model (approach 1, with DHZ)</vt:lpstr>
      <vt:lpstr>Model (approach 2)</vt:lpstr>
      <vt:lpstr>Template (approach 1)</vt:lpstr>
      <vt:lpstr>Template (approach 2)</vt:lpstr>
      <vt:lpstr>Template with uncertainties</vt:lpstr>
      <vt:lpstr>Template showing correction</vt:lpstr>
      <vt:lpstr>Phlogopite Model (approach 1)</vt:lpstr>
      <vt:lpstr>Phlog Template (approach 2)</vt:lpstr>
    </vt:vector>
  </TitlesOfParts>
  <Company>The University of Texas at Austin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Ketcham, Richard A</dc:creator>
  <cp:lastModifiedBy>Editorial Assistant</cp:lastModifiedBy>
  <dcterms:created xsi:type="dcterms:W3CDTF">2014-08-04T16:03:55Z</dcterms:created>
  <dcterms:modified xsi:type="dcterms:W3CDTF">2015-03-16T20:12:38Z</dcterms:modified>
</cp:coreProperties>
</file>