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0" yWindow="0" windowWidth="25520" windowHeight="15600" tabRatio="500"/>
  </bookViews>
  <sheets>
    <sheet name="X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AI8" i="1"/>
  <c r="AE8" i="1"/>
  <c r="AF8" i="1"/>
  <c r="AG8" i="1"/>
  <c r="AH8" i="1"/>
  <c r="AJ8" i="1"/>
  <c r="AK8" i="1"/>
  <c r="AL8" i="1"/>
  <c r="AM8" i="1"/>
  <c r="AR8" i="1"/>
  <c r="BB8" i="1"/>
  <c r="AW8" i="1"/>
  <c r="AX8" i="1"/>
  <c r="AY8" i="1"/>
  <c r="AZ8" i="1"/>
  <c r="BA8" i="1"/>
  <c r="BC8" i="1"/>
  <c r="BD8" i="1"/>
  <c r="BE8" i="1"/>
  <c r="BF8" i="1"/>
  <c r="BG8" i="1"/>
  <c r="BH8" i="1"/>
  <c r="BI8" i="1"/>
  <c r="BJ8" i="1"/>
  <c r="BP8" i="1"/>
  <c r="CF8" i="1"/>
  <c r="BN8" i="1"/>
  <c r="BO8" i="1"/>
  <c r="BQ8" i="1"/>
  <c r="BV8" i="1"/>
  <c r="BW8" i="1"/>
  <c r="BZ8" i="1"/>
  <c r="BM8" i="1"/>
  <c r="BL8" i="1"/>
  <c r="CA8" i="1"/>
  <c r="BK8" i="1"/>
  <c r="CG8" i="1"/>
  <c r="AU8" i="1"/>
  <c r="CI8" i="1"/>
  <c r="CJ8" i="1"/>
  <c r="CL8" i="1"/>
  <c r="CC8" i="1"/>
  <c r="CD8" i="1"/>
  <c r="CE8" i="1"/>
  <c r="CK8" i="1"/>
  <c r="BY8" i="1"/>
  <c r="CB8" i="1"/>
  <c r="CH8" i="1"/>
  <c r="BR8" i="1"/>
  <c r="BS8" i="1"/>
  <c r="BT8" i="1"/>
  <c r="BU8" i="1"/>
  <c r="BX8" i="1"/>
  <c r="AN8" i="1"/>
  <c r="AO8" i="1"/>
  <c r="AP8" i="1"/>
  <c r="AQ8" i="1"/>
  <c r="AS8" i="1"/>
  <c r="AT8" i="1"/>
  <c r="AV8" i="1"/>
  <c r="AD8" i="1"/>
  <c r="R8" i="1"/>
  <c r="A8" i="1"/>
  <c r="B8" i="1"/>
  <c r="C8" i="1"/>
  <c r="AI7" i="1"/>
  <c r="AE7" i="1"/>
  <c r="AF7" i="1"/>
  <c r="AG7" i="1"/>
  <c r="AH7" i="1"/>
  <c r="AJ7" i="1"/>
  <c r="AK7" i="1"/>
  <c r="AL7" i="1"/>
  <c r="AM7" i="1"/>
  <c r="AR7" i="1"/>
  <c r="BB7" i="1"/>
  <c r="AW7" i="1"/>
  <c r="AX7" i="1"/>
  <c r="AY7" i="1"/>
  <c r="AZ7" i="1"/>
  <c r="BA7" i="1"/>
  <c r="BC7" i="1"/>
  <c r="BD7" i="1"/>
  <c r="BE7" i="1"/>
  <c r="BF7" i="1"/>
  <c r="BG7" i="1"/>
  <c r="BH7" i="1"/>
  <c r="BI7" i="1"/>
  <c r="BJ7" i="1"/>
  <c r="BP7" i="1"/>
  <c r="CF7" i="1"/>
  <c r="BN7" i="1"/>
  <c r="BO7" i="1"/>
  <c r="BQ7" i="1"/>
  <c r="BV7" i="1"/>
  <c r="BW7" i="1"/>
  <c r="BZ7" i="1"/>
  <c r="BM7" i="1"/>
  <c r="BL7" i="1"/>
  <c r="CA7" i="1"/>
  <c r="BK7" i="1"/>
  <c r="CG7" i="1"/>
  <c r="AU7" i="1"/>
  <c r="CI7" i="1"/>
  <c r="CJ7" i="1"/>
  <c r="CL7" i="1"/>
  <c r="CC7" i="1"/>
  <c r="CD7" i="1"/>
  <c r="CE7" i="1"/>
  <c r="CK7" i="1"/>
  <c r="BY7" i="1"/>
  <c r="CB7" i="1"/>
  <c r="CH7" i="1"/>
  <c r="BR7" i="1"/>
  <c r="BS7" i="1"/>
  <c r="BT7" i="1"/>
  <c r="BU7" i="1"/>
  <c r="BX7" i="1"/>
  <c r="AN7" i="1"/>
  <c r="AO7" i="1"/>
  <c r="AP7" i="1"/>
  <c r="AQ7" i="1"/>
  <c r="AS7" i="1"/>
  <c r="AT7" i="1"/>
  <c r="AV7" i="1"/>
  <c r="AD7" i="1"/>
  <c r="R7" i="1"/>
  <c r="A7" i="1"/>
  <c r="B7" i="1"/>
  <c r="C7" i="1"/>
  <c r="AI6" i="1"/>
  <c r="AE6" i="1"/>
  <c r="AF6" i="1"/>
  <c r="AG6" i="1"/>
  <c r="AH6" i="1"/>
  <c r="AJ6" i="1"/>
  <c r="AK6" i="1"/>
  <c r="AL6" i="1"/>
  <c r="AM6" i="1"/>
  <c r="AR6" i="1"/>
  <c r="BB6" i="1"/>
  <c r="AW6" i="1"/>
  <c r="AX6" i="1"/>
  <c r="AY6" i="1"/>
  <c r="AZ6" i="1"/>
  <c r="BA6" i="1"/>
  <c r="BC6" i="1"/>
  <c r="BD6" i="1"/>
  <c r="BE6" i="1"/>
  <c r="BF6" i="1"/>
  <c r="BG6" i="1"/>
  <c r="BH6" i="1"/>
  <c r="BI6" i="1"/>
  <c r="BJ6" i="1"/>
  <c r="BP6" i="1"/>
  <c r="CF6" i="1"/>
  <c r="BN6" i="1"/>
  <c r="BO6" i="1"/>
  <c r="BQ6" i="1"/>
  <c r="BV6" i="1"/>
  <c r="BW6" i="1"/>
  <c r="BZ6" i="1"/>
  <c r="BM6" i="1"/>
  <c r="BL6" i="1"/>
  <c r="CA6" i="1"/>
  <c r="BK6" i="1"/>
  <c r="CG6" i="1"/>
  <c r="AU6" i="1"/>
  <c r="CI6" i="1"/>
  <c r="CJ6" i="1"/>
  <c r="CL6" i="1"/>
  <c r="CC6" i="1"/>
  <c r="CD6" i="1"/>
  <c r="CE6" i="1"/>
  <c r="CK6" i="1"/>
  <c r="BY6" i="1"/>
  <c r="CB6" i="1"/>
  <c r="CH6" i="1"/>
  <c r="BR6" i="1"/>
  <c r="BS6" i="1"/>
  <c r="BT6" i="1"/>
  <c r="BU6" i="1"/>
  <c r="BX6" i="1"/>
  <c r="AN6" i="1"/>
  <c r="AO6" i="1"/>
  <c r="AP6" i="1"/>
  <c r="AQ6" i="1"/>
  <c r="AS6" i="1"/>
  <c r="AT6" i="1"/>
  <c r="AV6" i="1"/>
  <c r="AD6" i="1"/>
  <c r="R6" i="1"/>
  <c r="A6" i="1"/>
  <c r="B6" i="1"/>
  <c r="C6" i="1"/>
  <c r="AI5" i="1"/>
  <c r="AE5" i="1"/>
  <c r="AF5" i="1"/>
  <c r="AG5" i="1"/>
  <c r="AH5" i="1"/>
  <c r="AJ5" i="1"/>
  <c r="AK5" i="1"/>
  <c r="AL5" i="1"/>
  <c r="AM5" i="1"/>
  <c r="AR5" i="1"/>
  <c r="BB5" i="1"/>
  <c r="AW5" i="1"/>
  <c r="AX5" i="1"/>
  <c r="AY5" i="1"/>
  <c r="AZ5" i="1"/>
  <c r="BA5" i="1"/>
  <c r="BC5" i="1"/>
  <c r="BD5" i="1"/>
  <c r="BE5" i="1"/>
  <c r="BF5" i="1"/>
  <c r="BG5" i="1"/>
  <c r="BH5" i="1"/>
  <c r="BI5" i="1"/>
  <c r="BJ5" i="1"/>
  <c r="BP5" i="1"/>
  <c r="CF5" i="1"/>
  <c r="BN5" i="1"/>
  <c r="BO5" i="1"/>
  <c r="BQ5" i="1"/>
  <c r="BV5" i="1"/>
  <c r="BW5" i="1"/>
  <c r="BZ5" i="1"/>
  <c r="BM5" i="1"/>
  <c r="BL5" i="1"/>
  <c r="CA5" i="1"/>
  <c r="BK5" i="1"/>
  <c r="CG5" i="1"/>
  <c r="AU5" i="1"/>
  <c r="CI5" i="1"/>
  <c r="CJ5" i="1"/>
  <c r="CL5" i="1"/>
  <c r="CC5" i="1"/>
  <c r="CD5" i="1"/>
  <c r="CE5" i="1"/>
  <c r="CK5" i="1"/>
  <c r="BY5" i="1"/>
  <c r="CB5" i="1"/>
  <c r="CH5" i="1"/>
  <c r="BR5" i="1"/>
  <c r="BS5" i="1"/>
  <c r="BT5" i="1"/>
  <c r="BU5" i="1"/>
  <c r="BX5" i="1"/>
  <c r="AN5" i="1"/>
  <c r="AO5" i="1"/>
  <c r="AP5" i="1"/>
  <c r="AQ5" i="1"/>
  <c r="AS5" i="1"/>
  <c r="AT5" i="1"/>
  <c r="AV5" i="1"/>
  <c r="AD5" i="1"/>
  <c r="R5" i="1"/>
  <c r="A5" i="1"/>
  <c r="B5" i="1"/>
  <c r="C5" i="1"/>
  <c r="AI4" i="1"/>
  <c r="AE4" i="1"/>
  <c r="AF4" i="1"/>
  <c r="AG4" i="1"/>
  <c r="AH4" i="1"/>
  <c r="AJ4" i="1"/>
  <c r="AK4" i="1"/>
  <c r="AL4" i="1"/>
  <c r="AM4" i="1"/>
  <c r="AR4" i="1"/>
  <c r="BB4" i="1"/>
  <c r="AW4" i="1"/>
  <c r="AX4" i="1"/>
  <c r="AY4" i="1"/>
  <c r="AZ4" i="1"/>
  <c r="BA4" i="1"/>
  <c r="BC4" i="1"/>
  <c r="BD4" i="1"/>
  <c r="BE4" i="1"/>
  <c r="BF4" i="1"/>
  <c r="BG4" i="1"/>
  <c r="BH4" i="1"/>
  <c r="BI4" i="1"/>
  <c r="BJ4" i="1"/>
  <c r="BP4" i="1"/>
  <c r="CF4" i="1"/>
  <c r="BN4" i="1"/>
  <c r="BO4" i="1"/>
  <c r="BQ4" i="1"/>
  <c r="BV4" i="1"/>
  <c r="BW4" i="1"/>
  <c r="BZ4" i="1"/>
  <c r="BM4" i="1"/>
  <c r="BL4" i="1"/>
  <c r="CA4" i="1"/>
  <c r="BK4" i="1"/>
  <c r="CG4" i="1"/>
  <c r="CC4" i="1"/>
  <c r="R4" i="1"/>
  <c r="AU4" i="1"/>
  <c r="CI4" i="1"/>
  <c r="CJ4" i="1"/>
  <c r="CL4" i="1"/>
  <c r="CD4" i="1"/>
  <c r="BY4" i="1"/>
  <c r="CB4" i="1"/>
  <c r="CE4" i="1"/>
  <c r="CK4" i="1"/>
  <c r="CH4" i="1"/>
  <c r="A4" i="1"/>
  <c r="B4" i="1"/>
  <c r="C4" i="1"/>
  <c r="BR4" i="1"/>
  <c r="BS4" i="1"/>
  <c r="BT4" i="1"/>
  <c r="BU4" i="1"/>
  <c r="BX4" i="1"/>
  <c r="AN4" i="1"/>
  <c r="AO4" i="1"/>
  <c r="AP4" i="1"/>
  <c r="AQ4" i="1"/>
  <c r="AS4" i="1"/>
  <c r="AT4" i="1"/>
  <c r="AV4" i="1"/>
  <c r="AD4" i="1"/>
</calcChain>
</file>

<file path=xl/sharedStrings.xml><?xml version="1.0" encoding="utf-8"?>
<sst xmlns="http://schemas.openxmlformats.org/spreadsheetml/2006/main" count="113" uniqueCount="72">
  <si>
    <t>sample #</t>
  </si>
  <si>
    <t>∆T (˚C)</t>
  </si>
  <si>
    <t>min H2O (wt%)</t>
  </si>
  <si>
    <t>NiO (wt%) from the Fo-Ni curve</t>
  </si>
  <si>
    <t>MELT oxide mole fraction</t>
  </si>
  <si>
    <t>lnD(Mg) mole% as D.V.; Beattie5</t>
  </si>
  <si>
    <t>lnD(Ni) mole% D.V.;Beattie5 form</t>
  </si>
  <si>
    <t>∆T</t>
  </si>
  <si>
    <t xml:space="preserve"> SiO2</t>
  </si>
  <si>
    <t xml:space="preserve"> TiO2</t>
  </si>
  <si>
    <t xml:space="preserve"> Al2O3</t>
  </si>
  <si>
    <t xml:space="preserve"> FeO</t>
  </si>
  <si>
    <t xml:space="preserve"> MnO</t>
  </si>
  <si>
    <t xml:space="preserve"> MgO</t>
  </si>
  <si>
    <t xml:space="preserve"> CaO</t>
  </si>
  <si>
    <t xml:space="preserve"> Na2O</t>
  </si>
  <si>
    <t xml:space="preserve"> K2O</t>
  </si>
  <si>
    <t xml:space="preserve"> P2O5</t>
  </si>
  <si>
    <t xml:space="preserve"> Cr2O3</t>
  </si>
  <si>
    <t xml:space="preserve"> CoO</t>
  </si>
  <si>
    <t>Ni (ppm)</t>
  </si>
  <si>
    <t>Total</t>
  </si>
  <si>
    <t>Sample</t>
  </si>
  <si>
    <t>SiO2</t>
  </si>
  <si>
    <t>Al2O3</t>
  </si>
  <si>
    <t>FeO</t>
  </si>
  <si>
    <t>MnO</t>
  </si>
  <si>
    <t>MgO</t>
  </si>
  <si>
    <t>CaO</t>
  </si>
  <si>
    <t>Cr2O3</t>
  </si>
  <si>
    <t>NiO</t>
  </si>
  <si>
    <t>Fo#</t>
  </si>
  <si>
    <t>total</t>
  </si>
  <si>
    <t>melt SiO2</t>
  </si>
  <si>
    <t>melt TiO2</t>
  </si>
  <si>
    <t>melt FeOT</t>
  </si>
  <si>
    <t>melt MnO</t>
  </si>
  <si>
    <t>melt MgO</t>
  </si>
  <si>
    <t>melt CaO</t>
  </si>
  <si>
    <t>melt CoO</t>
  </si>
  <si>
    <t>melt NiO</t>
  </si>
  <si>
    <t>melt Al2O3</t>
  </si>
  <si>
    <t>melt NaO</t>
  </si>
  <si>
    <t>melt K2O</t>
  </si>
  <si>
    <t>melt P2O5</t>
  </si>
  <si>
    <t>melt Cr2O3</t>
  </si>
  <si>
    <t>D(Eqn.12,mole%)</t>
  </si>
  <si>
    <t>XNM</t>
  </si>
  <si>
    <t>NF(X)</t>
  </si>
  <si>
    <t>T(BeattieX)</t>
  </si>
  <si>
    <t>DNi(oliv/liq)  wt%</t>
  </si>
  <si>
    <t>ln(6/1)</t>
  </si>
  <si>
    <t>T(LR10)</t>
  </si>
  <si>
    <t>D(Mg, mole%)</t>
  </si>
  <si>
    <t>calc T (˚C)</t>
  </si>
  <si>
    <t>D(Ni,mole%)</t>
  </si>
  <si>
    <t>calc T - LR10</t>
  </si>
  <si>
    <t>UR-36</t>
  </si>
  <si>
    <t>OUTPUT</t>
  </si>
  <si>
    <t>INPUT</t>
  </si>
  <si>
    <t>CALCULATION</t>
  </si>
  <si>
    <t>OLIVINE wt%</t>
  </si>
  <si>
    <t>calc T - Beattie(X)</t>
  </si>
  <si>
    <t>OLIVINE mole</t>
  </si>
  <si>
    <t>OLIVINE mole fraction</t>
  </si>
  <si>
    <t>MELT oxide mole</t>
  </si>
  <si>
    <r>
      <t>T</t>
    </r>
    <r>
      <rPr>
        <vertAlign val="subscript"/>
        <sz val="12"/>
        <rFont val="Arial"/>
      </rPr>
      <t xml:space="preserve">Mg </t>
    </r>
    <r>
      <rPr>
        <sz val="12"/>
        <rFont val="Arial"/>
      </rPr>
      <t xml:space="preserve">(˚C) </t>
    </r>
  </si>
  <si>
    <r>
      <t>T</t>
    </r>
    <r>
      <rPr>
        <vertAlign val="subscript"/>
        <sz val="12"/>
        <rFont val="Arial"/>
      </rPr>
      <t xml:space="preserve">Ni </t>
    </r>
    <r>
      <rPr>
        <sz val="12"/>
        <rFont val="Arial"/>
      </rPr>
      <t>(˚C)</t>
    </r>
  </si>
  <si>
    <t xml:space="preserve">MELT (whole rock) wt% </t>
  </si>
  <si>
    <t>UR-36_NiOl-olivine</t>
  </si>
  <si>
    <t>Li and Ripley 2010</t>
  </si>
  <si>
    <t>Beattie 1993 (mole fraction)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</si>
</sst>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sz val="12"/>
      <name val="Arial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bscript"/>
      <sz val="12"/>
      <name val="Arial"/>
    </font>
    <font>
      <b/>
      <sz val="16"/>
      <name val="Arial"/>
    </font>
    <font>
      <b/>
      <sz val="16"/>
      <color theme="1"/>
      <name val="Arial"/>
    </font>
    <font>
      <sz val="16"/>
      <color theme="1"/>
      <name val="Arial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1C2"/>
        <bgColor indexed="64"/>
      </patternFill>
    </fill>
    <fill>
      <patternFill patternType="solid">
        <fgColor rgb="FF96C6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E8B8FF"/>
        <bgColor indexed="64"/>
      </patternFill>
    </fill>
    <fill>
      <patternFill patternType="solid">
        <fgColor rgb="FF6EE2D6"/>
        <bgColor indexed="64"/>
      </patternFill>
    </fill>
    <fill>
      <patternFill patternType="solid">
        <fgColor rgb="FFFFD497"/>
        <bgColor indexed="64"/>
      </patternFill>
    </fill>
    <fill>
      <patternFill patternType="solid">
        <fgColor rgb="FFFFD6F5"/>
        <bgColor indexed="64"/>
      </patternFill>
    </fill>
    <fill>
      <patternFill patternType="solid">
        <fgColor rgb="FF95E8BF"/>
        <bgColor indexed="64"/>
      </patternFill>
    </fill>
    <fill>
      <patternFill patternType="solid">
        <fgColor rgb="FFFCCE8D"/>
        <bgColor indexed="64"/>
      </patternFill>
    </fill>
    <fill>
      <patternFill patternType="solid">
        <fgColor rgb="FFD9DBFF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2" fontId="2" fillId="5" borderId="2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8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/>
    </xf>
    <xf numFmtId="2" fontId="1" fillId="10" borderId="8" xfId="0" applyNumberFormat="1" applyFont="1" applyFill="1" applyBorder="1" applyAlignment="1">
      <alignment horizontal="center" vertical="center"/>
    </xf>
    <xf numFmtId="2" fontId="1" fillId="11" borderId="2" xfId="0" applyNumberFormat="1" applyFont="1" applyFill="1" applyBorder="1" applyAlignment="1">
      <alignment horizontal="center" vertical="center"/>
    </xf>
    <xf numFmtId="2" fontId="1" fillId="11" borderId="8" xfId="0" applyNumberFormat="1" applyFont="1" applyFill="1" applyBorder="1" applyAlignment="1">
      <alignment horizontal="center" vertical="center"/>
    </xf>
    <xf numFmtId="2" fontId="1" fillId="11" borderId="3" xfId="0" applyNumberFormat="1" applyFont="1" applyFill="1" applyBorder="1" applyAlignment="1">
      <alignment horizontal="center" vertical="center"/>
    </xf>
    <xf numFmtId="2" fontId="1" fillId="12" borderId="8" xfId="0" applyNumberFormat="1" applyFont="1" applyFill="1" applyBorder="1" applyAlignment="1">
      <alignment horizontal="center" vertical="center"/>
    </xf>
    <xf numFmtId="0" fontId="1" fillId="13" borderId="10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2" fontId="1" fillId="13" borderId="8" xfId="0" applyNumberFormat="1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2" borderId="3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1" borderId="3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</cellXfs>
  <cellStyles count="50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Normal" xfId="0" builtinId="0"/>
    <cellStyle name="Normal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9"/>
  <sheetViews>
    <sheetView tabSelected="1" workbookViewId="0">
      <pane xSplit="5" ySplit="3" topLeftCell="F4" activePane="bottomRight" state="frozen"/>
      <selection pane="topRight" activeCell="F1" sqref="F1"/>
      <selection pane="bottomLeft" activeCell="A4" sqref="A4"/>
      <selection pane="bottomRight" activeCell="C11" sqref="C11:E19"/>
    </sheetView>
  </sheetViews>
  <sheetFormatPr baseColWidth="10" defaultRowHeight="15" x14ac:dyDescent="0"/>
  <cols>
    <col min="1" max="1" width="12.33203125" style="2" customWidth="1"/>
    <col min="2" max="3" width="10.83203125" style="2"/>
    <col min="4" max="4" width="11" style="2" customWidth="1"/>
    <col min="5" max="5" width="10.83203125" style="2"/>
    <col min="6" max="19" width="11.83203125" style="2" customWidth="1"/>
    <col min="20" max="27" width="13.1640625" style="2" customWidth="1"/>
    <col min="28" max="28" width="16" style="2" customWidth="1"/>
    <col min="29" max="30" width="13" style="2" customWidth="1"/>
    <col min="31" max="31" width="13.83203125" style="2" customWidth="1"/>
    <col min="32" max="76" width="10.83203125" style="2"/>
    <col min="77" max="77" width="11.5" style="2" customWidth="1"/>
    <col min="78" max="79" width="10.83203125" style="2"/>
    <col min="80" max="80" width="10.83203125" style="2" customWidth="1"/>
    <col min="81" max="81" width="11.33203125" style="2" customWidth="1"/>
    <col min="82" max="82" width="10.83203125" style="2"/>
    <col min="83" max="83" width="11.83203125" style="15" customWidth="1"/>
    <col min="84" max="86" width="15.5" style="15" customWidth="1"/>
    <col min="87" max="87" width="17.33203125" style="15" customWidth="1"/>
    <col min="88" max="89" width="17.33203125" style="2" customWidth="1"/>
    <col min="90" max="90" width="15" style="2" customWidth="1"/>
    <col min="91" max="92" width="16.6640625" style="2" customWidth="1"/>
    <col min="93" max="16384" width="10.83203125" style="2"/>
  </cols>
  <sheetData>
    <row r="1" spans="1:92" s="30" customFormat="1" ht="23" customHeight="1">
      <c r="A1" s="64" t="s">
        <v>58</v>
      </c>
      <c r="B1" s="65"/>
      <c r="C1" s="65"/>
      <c r="D1" s="66"/>
      <c r="E1" s="67" t="s">
        <v>59</v>
      </c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58" t="s">
        <v>60</v>
      </c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</row>
    <row r="2" spans="1:92" s="1" customFormat="1" ht="19" customHeight="1">
      <c r="A2" s="86" t="s">
        <v>66</v>
      </c>
      <c r="B2" s="86" t="s">
        <v>67</v>
      </c>
      <c r="C2" s="80" t="s">
        <v>1</v>
      </c>
      <c r="D2" s="82" t="s">
        <v>2</v>
      </c>
      <c r="E2" s="62" t="s">
        <v>0</v>
      </c>
      <c r="F2" s="83" t="s">
        <v>68</v>
      </c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5"/>
      <c r="T2" s="60" t="s">
        <v>61</v>
      </c>
      <c r="U2" s="61"/>
      <c r="V2" s="61"/>
      <c r="W2" s="61"/>
      <c r="X2" s="61"/>
      <c r="Y2" s="61"/>
      <c r="Z2" s="61"/>
      <c r="AA2" s="61"/>
      <c r="AB2" s="61"/>
      <c r="AC2" s="61"/>
      <c r="AD2" s="61"/>
      <c r="AE2" s="48" t="s">
        <v>63</v>
      </c>
      <c r="AF2" s="49"/>
      <c r="AG2" s="49"/>
      <c r="AH2" s="49"/>
      <c r="AI2" s="49"/>
      <c r="AJ2" s="49"/>
      <c r="AK2" s="49"/>
      <c r="AL2" s="49"/>
      <c r="AM2" s="50"/>
      <c r="AN2" s="51" t="s">
        <v>64</v>
      </c>
      <c r="AO2" s="52"/>
      <c r="AP2" s="52"/>
      <c r="AQ2" s="52"/>
      <c r="AR2" s="52"/>
      <c r="AS2" s="52"/>
      <c r="AT2" s="52"/>
      <c r="AU2" s="52"/>
      <c r="AV2" s="53"/>
      <c r="AW2" s="54" t="s">
        <v>65</v>
      </c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5" t="s">
        <v>4</v>
      </c>
      <c r="BL2" s="56"/>
      <c r="BM2" s="56"/>
      <c r="BN2" s="56"/>
      <c r="BO2" s="56"/>
      <c r="BP2" s="56"/>
      <c r="BQ2" s="56"/>
      <c r="BR2" s="56"/>
      <c r="BS2" s="56"/>
      <c r="BT2" s="56"/>
      <c r="BU2" s="56"/>
      <c r="BV2" s="56"/>
      <c r="BW2" s="56"/>
      <c r="BX2" s="57"/>
      <c r="BY2" s="47" t="s">
        <v>71</v>
      </c>
      <c r="BZ2" s="47"/>
      <c r="CA2" s="47"/>
      <c r="CB2" s="47"/>
      <c r="CC2" s="69" t="s">
        <v>70</v>
      </c>
      <c r="CD2" s="70"/>
      <c r="CE2" s="71"/>
      <c r="CF2" s="72" t="s">
        <v>5</v>
      </c>
      <c r="CG2" s="73"/>
      <c r="CH2" s="74"/>
      <c r="CI2" s="75" t="s">
        <v>6</v>
      </c>
      <c r="CJ2" s="76"/>
      <c r="CK2" s="77"/>
      <c r="CL2" s="78" t="s">
        <v>7</v>
      </c>
      <c r="CM2" s="46"/>
      <c r="CN2" s="46"/>
    </row>
    <row r="3" spans="1:92" s="18" customFormat="1" ht="36" customHeight="1">
      <c r="A3" s="87"/>
      <c r="B3" s="87"/>
      <c r="C3" s="81"/>
      <c r="D3" s="81"/>
      <c r="E3" s="63"/>
      <c r="F3" s="19" t="s">
        <v>8</v>
      </c>
      <c r="G3" s="20" t="s">
        <v>9</v>
      </c>
      <c r="H3" s="20" t="s">
        <v>10</v>
      </c>
      <c r="I3" s="20" t="s">
        <v>11</v>
      </c>
      <c r="J3" s="20" t="s">
        <v>12</v>
      </c>
      <c r="K3" s="20" t="s">
        <v>13</v>
      </c>
      <c r="L3" s="20" t="s">
        <v>14</v>
      </c>
      <c r="M3" s="20" t="s">
        <v>15</v>
      </c>
      <c r="N3" s="20" t="s">
        <v>16</v>
      </c>
      <c r="O3" s="20" t="s">
        <v>17</v>
      </c>
      <c r="P3" s="20" t="s">
        <v>18</v>
      </c>
      <c r="Q3" s="21" t="s">
        <v>19</v>
      </c>
      <c r="R3" s="21" t="s">
        <v>21</v>
      </c>
      <c r="S3" s="21" t="s">
        <v>20</v>
      </c>
      <c r="T3" s="22" t="s">
        <v>22</v>
      </c>
      <c r="U3" s="21" t="s">
        <v>23</v>
      </c>
      <c r="V3" s="21" t="s">
        <v>24</v>
      </c>
      <c r="W3" s="21" t="s">
        <v>25</v>
      </c>
      <c r="X3" s="21" t="s">
        <v>26</v>
      </c>
      <c r="Y3" s="21" t="s">
        <v>27</v>
      </c>
      <c r="Z3" s="21" t="s">
        <v>28</v>
      </c>
      <c r="AA3" s="21" t="s">
        <v>29</v>
      </c>
      <c r="AB3" s="23" t="s">
        <v>3</v>
      </c>
      <c r="AC3" s="21" t="s">
        <v>21</v>
      </c>
      <c r="AD3" s="24" t="s">
        <v>31</v>
      </c>
      <c r="AE3" s="41" t="s">
        <v>23</v>
      </c>
      <c r="AF3" s="41" t="s">
        <v>24</v>
      </c>
      <c r="AG3" s="41" t="s">
        <v>25</v>
      </c>
      <c r="AH3" s="41" t="s">
        <v>26</v>
      </c>
      <c r="AI3" s="41" t="s">
        <v>27</v>
      </c>
      <c r="AJ3" s="41" t="s">
        <v>28</v>
      </c>
      <c r="AK3" s="41" t="s">
        <v>29</v>
      </c>
      <c r="AL3" s="41" t="s">
        <v>30</v>
      </c>
      <c r="AM3" s="41" t="s">
        <v>32</v>
      </c>
      <c r="AN3" s="38" t="s">
        <v>23</v>
      </c>
      <c r="AO3" s="39" t="s">
        <v>24</v>
      </c>
      <c r="AP3" s="39" t="s">
        <v>25</v>
      </c>
      <c r="AQ3" s="39" t="s">
        <v>26</v>
      </c>
      <c r="AR3" s="39" t="s">
        <v>27</v>
      </c>
      <c r="AS3" s="39" t="s">
        <v>28</v>
      </c>
      <c r="AT3" s="39" t="s">
        <v>29</v>
      </c>
      <c r="AU3" s="39" t="s">
        <v>30</v>
      </c>
      <c r="AV3" s="40" t="s">
        <v>32</v>
      </c>
      <c r="AW3" s="36" t="s">
        <v>33</v>
      </c>
      <c r="AX3" s="36" t="s">
        <v>34</v>
      </c>
      <c r="AY3" s="36" t="s">
        <v>41</v>
      </c>
      <c r="AZ3" s="36" t="s">
        <v>35</v>
      </c>
      <c r="BA3" s="36" t="s">
        <v>36</v>
      </c>
      <c r="BB3" s="36" t="s">
        <v>37</v>
      </c>
      <c r="BC3" s="36" t="s">
        <v>38</v>
      </c>
      <c r="BD3" s="36" t="s">
        <v>42</v>
      </c>
      <c r="BE3" s="36" t="s">
        <v>43</v>
      </c>
      <c r="BF3" s="36" t="s">
        <v>44</v>
      </c>
      <c r="BG3" s="36" t="s">
        <v>45</v>
      </c>
      <c r="BH3" s="37" t="s">
        <v>39</v>
      </c>
      <c r="BI3" s="37" t="s">
        <v>40</v>
      </c>
      <c r="BJ3" s="36" t="s">
        <v>21</v>
      </c>
      <c r="BK3" s="42" t="s">
        <v>33</v>
      </c>
      <c r="BL3" s="43" t="s">
        <v>34</v>
      </c>
      <c r="BM3" s="43" t="s">
        <v>41</v>
      </c>
      <c r="BN3" s="43" t="s">
        <v>35</v>
      </c>
      <c r="BO3" s="43" t="s">
        <v>36</v>
      </c>
      <c r="BP3" s="43" t="s">
        <v>37</v>
      </c>
      <c r="BQ3" s="43" t="s">
        <v>38</v>
      </c>
      <c r="BR3" s="43" t="s">
        <v>42</v>
      </c>
      <c r="BS3" s="43" t="s">
        <v>43</v>
      </c>
      <c r="BT3" s="43" t="s">
        <v>44</v>
      </c>
      <c r="BU3" s="43" t="s">
        <v>45</v>
      </c>
      <c r="BV3" s="44" t="s">
        <v>39</v>
      </c>
      <c r="BW3" s="44" t="s">
        <v>40</v>
      </c>
      <c r="BX3" s="45" t="s">
        <v>21</v>
      </c>
      <c r="BY3" s="28" t="s">
        <v>46</v>
      </c>
      <c r="BZ3" s="29" t="s">
        <v>47</v>
      </c>
      <c r="CA3" s="29" t="s">
        <v>48</v>
      </c>
      <c r="CB3" s="29" t="s">
        <v>49</v>
      </c>
      <c r="CC3" s="32" t="s">
        <v>50</v>
      </c>
      <c r="CD3" s="26" t="s">
        <v>51</v>
      </c>
      <c r="CE3" s="25" t="s">
        <v>52</v>
      </c>
      <c r="CF3" s="33" t="s">
        <v>53</v>
      </c>
      <c r="CG3" s="34" t="s">
        <v>54</v>
      </c>
      <c r="CH3" s="35" t="s">
        <v>62</v>
      </c>
      <c r="CI3" s="27" t="s">
        <v>55</v>
      </c>
      <c r="CJ3" s="27" t="s">
        <v>54</v>
      </c>
      <c r="CK3" s="31" t="s">
        <v>56</v>
      </c>
      <c r="CL3" s="79"/>
      <c r="CM3" s="17"/>
    </row>
    <row r="4" spans="1:92" s="1" customFormat="1">
      <c r="A4" s="3">
        <f>CG4</f>
        <v>1219.0699868540942</v>
      </c>
      <c r="B4" s="3">
        <f>CJ4</f>
        <v>1079.420140782217</v>
      </c>
      <c r="C4" s="3">
        <f>A4-B4</f>
        <v>139.64984607187716</v>
      </c>
      <c r="D4" s="4">
        <f>0.000069171*C4^2+0.02615*C4</f>
        <v>5.0008218164204683</v>
      </c>
      <c r="E4" s="2" t="s">
        <v>57</v>
      </c>
      <c r="F4" s="2">
        <v>52.3</v>
      </c>
      <c r="G4" s="2">
        <v>0.96</v>
      </c>
      <c r="H4" s="2">
        <v>17.100000000000001</v>
      </c>
      <c r="I4" s="2">
        <v>7.76</v>
      </c>
      <c r="J4" s="2">
        <v>0.13</v>
      </c>
      <c r="K4" s="2">
        <v>8.52</v>
      </c>
      <c r="L4" s="2">
        <v>8.6999999999999993</v>
      </c>
      <c r="M4" s="2">
        <v>3.52</v>
      </c>
      <c r="N4" s="2">
        <v>0.79</v>
      </c>
      <c r="O4" s="2">
        <v>0.18</v>
      </c>
      <c r="P4" s="2">
        <v>0</v>
      </c>
      <c r="Q4" s="2">
        <v>0</v>
      </c>
      <c r="R4" s="1">
        <f>SUM(F4:Q4)</f>
        <v>99.960000000000008</v>
      </c>
      <c r="S4" s="5">
        <v>145</v>
      </c>
      <c r="T4" s="13" t="s">
        <v>69</v>
      </c>
      <c r="U4" s="14">
        <v>40.469499999999996</v>
      </c>
      <c r="V4" s="13">
        <v>5.8700000000000002E-2</v>
      </c>
      <c r="W4" s="14">
        <v>11.7889</v>
      </c>
      <c r="X4" s="13">
        <v>0.22090000000000001</v>
      </c>
      <c r="Y4" s="14">
        <v>46.975200000000001</v>
      </c>
      <c r="Z4" s="13">
        <v>0.1232</v>
      </c>
      <c r="AA4" s="13">
        <v>1.72E-2</v>
      </c>
      <c r="AB4" s="7">
        <v>0.48</v>
      </c>
      <c r="AC4" s="14">
        <v>100.0458</v>
      </c>
      <c r="AD4" s="8">
        <f>(1/(1+1/(Y4/W4/(40.304/71.846))))*100</f>
        <v>87.659090623895551</v>
      </c>
      <c r="AE4" s="6">
        <f>U4/60.085</f>
        <v>0.67353748855787632</v>
      </c>
      <c r="AF4" s="6">
        <f>V4/101.961</f>
        <v>5.7571032061278339E-4</v>
      </c>
      <c r="AG4" s="6">
        <f>W4/71.846</f>
        <v>0.16408568326698772</v>
      </c>
      <c r="AH4" s="6">
        <f>X4/70.937</f>
        <v>3.1140307596881742E-3</v>
      </c>
      <c r="AI4" s="6">
        <f>Y4/40.304</f>
        <v>1.1655220325526001</v>
      </c>
      <c r="AJ4" s="6">
        <f>Z4/56.079</f>
        <v>2.196900800656217E-3</v>
      </c>
      <c r="AK4" s="6">
        <f>AA4/151.99</f>
        <v>1.1316533982498848E-4</v>
      </c>
      <c r="AL4" s="9">
        <f>AB4/74.693</f>
        <v>6.4263050085014662E-3</v>
      </c>
      <c r="AM4" s="6">
        <f>SUM(AE4:AL4)</f>
        <v>2.0155713166067479</v>
      </c>
      <c r="AN4" s="6">
        <f t="shared" ref="AN4:AU4" si="0">AE4/$AM4</f>
        <v>0.33416703393645691</v>
      </c>
      <c r="AO4" s="6">
        <f t="shared" si="0"/>
        <v>2.8563133235196187E-4</v>
      </c>
      <c r="AP4" s="6">
        <f t="shared" si="0"/>
        <v>8.1409018830069999E-2</v>
      </c>
      <c r="AQ4" s="6">
        <f t="shared" si="0"/>
        <v>1.5449866417680041E-3</v>
      </c>
      <c r="AR4" s="6">
        <f t="shared" si="0"/>
        <v>0.57825889014672938</v>
      </c>
      <c r="AS4" s="6">
        <f t="shared" si="0"/>
        <v>1.0899643106425728E-3</v>
      </c>
      <c r="AT4" s="6">
        <f t="shared" si="0"/>
        <v>5.6145539923392269E-5</v>
      </c>
      <c r="AU4" s="9">
        <f t="shared" si="0"/>
        <v>3.1883292620577034E-3</v>
      </c>
      <c r="AV4" s="6">
        <f>SUM(AN4:AU4)</f>
        <v>1</v>
      </c>
      <c r="AW4" s="11">
        <f>F4/60.085</f>
        <v>0.87043355246733789</v>
      </c>
      <c r="AX4" s="11">
        <f>G4/79.899</f>
        <v>1.2015169151053204E-2</v>
      </c>
      <c r="AY4" s="11">
        <f>H4/101.961</f>
        <v>0.16771118368788068</v>
      </c>
      <c r="AZ4" s="11">
        <f>I4/71.846</f>
        <v>0.10800879659271218</v>
      </c>
      <c r="BA4" s="11">
        <f>J4/70.937</f>
        <v>1.8326120360319721E-3</v>
      </c>
      <c r="BB4" s="11">
        <f>K4/40.304</f>
        <v>0.2113934100833664</v>
      </c>
      <c r="BC4" s="11">
        <f>L4/56.079</f>
        <v>0.155138287059327</v>
      </c>
      <c r="BD4" s="11">
        <f>M4/61.979</f>
        <v>5.6793430032753028E-2</v>
      </c>
      <c r="BE4" s="11">
        <f>N4/94.195</f>
        <v>8.386857051860503E-3</v>
      </c>
      <c r="BF4" s="11">
        <f>O4/141.945</f>
        <v>1.268096798055585E-3</v>
      </c>
      <c r="BG4" s="11">
        <f>P4/151.99</f>
        <v>0</v>
      </c>
      <c r="BH4" s="11">
        <f>Q4/74.932</f>
        <v>0</v>
      </c>
      <c r="BI4" s="16">
        <f>S4*1.2726*(10^-4)/74.692</f>
        <v>2.4705055427622774E-4</v>
      </c>
      <c r="BJ4" s="11">
        <f>SUM(AW4:BI4)</f>
        <v>1.5932284455146546</v>
      </c>
      <c r="BK4" s="11">
        <f t="shared" ref="BK4:BW4" si="1">AW4/$BJ4</f>
        <v>0.54633317332353115</v>
      </c>
      <c r="BL4" s="11">
        <f t="shared" si="1"/>
        <v>7.5413975848089938E-3</v>
      </c>
      <c r="BM4" s="11">
        <f t="shared" si="1"/>
        <v>0.10526499458381536</v>
      </c>
      <c r="BN4" s="11">
        <f t="shared" si="1"/>
        <v>6.7792410370769204E-2</v>
      </c>
      <c r="BO4" s="11">
        <f t="shared" si="1"/>
        <v>1.1502506380621333E-3</v>
      </c>
      <c r="BP4" s="11">
        <f t="shared" si="1"/>
        <v>0.13268242271125205</v>
      </c>
      <c r="BQ4" s="11">
        <f t="shared" si="1"/>
        <v>9.7373535788970469E-2</v>
      </c>
      <c r="BR4" s="11">
        <f t="shared" si="1"/>
        <v>3.5646758751164062E-2</v>
      </c>
      <c r="BS4" s="11">
        <f t="shared" si="1"/>
        <v>5.2640643439876124E-3</v>
      </c>
      <c r="BT4" s="11">
        <f t="shared" si="1"/>
        <v>7.9592904685175665E-4</v>
      </c>
      <c r="BU4" s="11">
        <f t="shared" si="1"/>
        <v>0</v>
      </c>
      <c r="BV4" s="11">
        <f t="shared" si="1"/>
        <v>0</v>
      </c>
      <c r="BW4" s="11">
        <f t="shared" si="1"/>
        <v>1.5506285678725998E-4</v>
      </c>
      <c r="BX4" s="11">
        <f>SUM(BK4:BW4)</f>
        <v>1.0000000000000002</v>
      </c>
      <c r="BY4" s="10">
        <f>(0.666-(-0.049*BO4+0.027*BN4-0.385*BV4-3.665*BW4))/(BP4+0.259*BO4+0.299*BN4+0.786*BV4+3.346*BW4)</f>
        <v>4.3233278675046369</v>
      </c>
      <c r="BZ4" s="10">
        <f>BN4+BO4+BP4+BQ4+BV4+BW4</f>
        <v>0.29915368236584111</v>
      </c>
      <c r="CA4" s="10">
        <f>3.5*LN(1-BM4)+7*LN(1-BL4)</f>
        <v>-0.4422867515138782</v>
      </c>
      <c r="CB4" s="3">
        <f>(113.1*1000/8.314+(10^-4*10^9-10^5)/8.314*4.11*10^(-6))/(6.26+2*LN(BY4)+2*LN(1.5*BZ4)+2*LN(3*BK4)-CA4)-273.15</f>
        <v>1235.7004192418181</v>
      </c>
      <c r="CC4" s="10">
        <f>AB4/(S4*1.2726/10000)</f>
        <v>26.012453462094978</v>
      </c>
      <c r="CD4" s="10">
        <f>LN((BN4+BO4+BP4+BQ4+BV4+BW4)/BK4)</f>
        <v>-0.60227156800643333</v>
      </c>
      <c r="CE4" s="12">
        <f>9250/(4.02+LN(CC4)+0.618*CD4)-273.15</f>
        <v>1066.1929388185972</v>
      </c>
      <c r="CF4" s="16">
        <f>AR4/BP4</f>
        <v>4.3582177528153512</v>
      </c>
      <c r="CG4" s="12">
        <f>6701/(LN(CF4)+1.12*LN($BZ4)-0.64*$CA4+1.08*LN($BK4)+4.74)-273.15</f>
        <v>1219.0699868540942</v>
      </c>
      <c r="CH4" s="12">
        <f>CG4-CB4</f>
        <v>-16.630432387723886</v>
      </c>
      <c r="CI4" s="16">
        <f>AU4/BW4</f>
        <v>20.561527938518271</v>
      </c>
      <c r="CJ4" s="12">
        <f>9416/(LN(CI4)+0.71*LN($BZ4)-0.349*$CA4-0.532*LN($BK4)+4.319)-273.15</f>
        <v>1079.420140782217</v>
      </c>
      <c r="CK4" s="12">
        <f>CJ4-CE4</f>
        <v>13.227201963619791</v>
      </c>
      <c r="CL4" s="3">
        <f>CG4-CJ4</f>
        <v>139.64984607187716</v>
      </c>
      <c r="CM4" s="12"/>
      <c r="CN4" s="3"/>
    </row>
    <row r="5" spans="1:92" s="1" customFormat="1">
      <c r="A5" s="3">
        <f t="shared" ref="A5:A8" si="2">CG5</f>
        <v>1219.0699868540942</v>
      </c>
      <c r="B5" s="3">
        <f t="shared" ref="B5:B8" si="3">CJ5</f>
        <v>1079.420140782217</v>
      </c>
      <c r="C5" s="3">
        <f t="shared" ref="C5:C8" si="4">A5-B5</f>
        <v>139.64984607187716</v>
      </c>
      <c r="D5" s="4">
        <f t="shared" ref="D5:D8" si="5">0.000069171*C5^2+0.02615*C5</f>
        <v>5.0008218164204683</v>
      </c>
      <c r="E5" s="2" t="s">
        <v>57</v>
      </c>
      <c r="F5" s="2">
        <v>52.3</v>
      </c>
      <c r="G5" s="2">
        <v>0.96</v>
      </c>
      <c r="H5" s="2">
        <v>17.100000000000001</v>
      </c>
      <c r="I5" s="2">
        <v>7.76</v>
      </c>
      <c r="J5" s="2">
        <v>0.13</v>
      </c>
      <c r="K5" s="2">
        <v>8.52</v>
      </c>
      <c r="L5" s="2">
        <v>8.6999999999999993</v>
      </c>
      <c r="M5" s="2">
        <v>3.52</v>
      </c>
      <c r="N5" s="2">
        <v>0.79</v>
      </c>
      <c r="O5" s="2">
        <v>0.18</v>
      </c>
      <c r="P5" s="2">
        <v>0</v>
      </c>
      <c r="Q5" s="2">
        <v>0</v>
      </c>
      <c r="R5" s="1">
        <f t="shared" ref="R5:R8" si="6">SUM(F5:Q5)</f>
        <v>99.960000000000008</v>
      </c>
      <c r="S5" s="5">
        <v>145</v>
      </c>
      <c r="T5" s="13" t="s">
        <v>69</v>
      </c>
      <c r="U5" s="14">
        <v>40.469499999999996</v>
      </c>
      <c r="V5" s="13">
        <v>5.8700000000000002E-2</v>
      </c>
      <c r="W5" s="14">
        <v>11.7889</v>
      </c>
      <c r="X5" s="13">
        <v>0.22090000000000001</v>
      </c>
      <c r="Y5" s="14">
        <v>46.975200000000001</v>
      </c>
      <c r="Z5" s="13">
        <v>0.1232</v>
      </c>
      <c r="AA5" s="13">
        <v>1.72E-2</v>
      </c>
      <c r="AB5" s="7">
        <v>0.48</v>
      </c>
      <c r="AC5" s="14">
        <v>100.0458</v>
      </c>
      <c r="AD5" s="8">
        <f t="shared" ref="AD5:AD8" si="7">(1/(1+1/(Y5/W5/(40.304/71.846))))*100</f>
        <v>87.659090623895551</v>
      </c>
      <c r="AE5" s="6">
        <f t="shared" ref="AE5:AE8" si="8">U5/60.085</f>
        <v>0.67353748855787632</v>
      </c>
      <c r="AF5" s="6">
        <f t="shared" ref="AF5:AF8" si="9">V5/101.961</f>
        <v>5.7571032061278339E-4</v>
      </c>
      <c r="AG5" s="6">
        <f t="shared" ref="AG5:AG8" si="10">W5/71.846</f>
        <v>0.16408568326698772</v>
      </c>
      <c r="AH5" s="6">
        <f t="shared" ref="AH5:AH8" si="11">X5/70.937</f>
        <v>3.1140307596881742E-3</v>
      </c>
      <c r="AI5" s="6">
        <f t="shared" ref="AI5:AI8" si="12">Y5/40.304</f>
        <v>1.1655220325526001</v>
      </c>
      <c r="AJ5" s="6">
        <f t="shared" ref="AJ5:AJ8" si="13">Z5/56.079</f>
        <v>2.196900800656217E-3</v>
      </c>
      <c r="AK5" s="6">
        <f t="shared" ref="AK5:AK8" si="14">AA5/151.99</f>
        <v>1.1316533982498848E-4</v>
      </c>
      <c r="AL5" s="9">
        <f t="shared" ref="AL5:AL8" si="15">AB5/74.693</f>
        <v>6.4263050085014662E-3</v>
      </c>
      <c r="AM5" s="6">
        <f t="shared" ref="AM5:AM8" si="16">SUM(AE5:AL5)</f>
        <v>2.0155713166067479</v>
      </c>
      <c r="AN5" s="6">
        <f t="shared" ref="AN5:AN8" si="17">AE5/$AM5</f>
        <v>0.33416703393645691</v>
      </c>
      <c r="AO5" s="6">
        <f t="shared" ref="AO5:AO8" si="18">AF5/$AM5</f>
        <v>2.8563133235196187E-4</v>
      </c>
      <c r="AP5" s="6">
        <f t="shared" ref="AP5:AP8" si="19">AG5/$AM5</f>
        <v>8.1409018830069999E-2</v>
      </c>
      <c r="AQ5" s="6">
        <f t="shared" ref="AQ5:AQ8" si="20">AH5/$AM5</f>
        <v>1.5449866417680041E-3</v>
      </c>
      <c r="AR5" s="6">
        <f t="shared" ref="AR5:AR8" si="21">AI5/$AM5</f>
        <v>0.57825889014672938</v>
      </c>
      <c r="AS5" s="6">
        <f t="shared" ref="AS5:AS8" si="22">AJ5/$AM5</f>
        <v>1.0899643106425728E-3</v>
      </c>
      <c r="AT5" s="6">
        <f t="shared" ref="AT5:AT8" si="23">AK5/$AM5</f>
        <v>5.6145539923392269E-5</v>
      </c>
      <c r="AU5" s="9">
        <f t="shared" ref="AU5:AU8" si="24">AL5/$AM5</f>
        <v>3.1883292620577034E-3</v>
      </c>
      <c r="AV5" s="6">
        <f t="shared" ref="AV5:AV8" si="25">SUM(AN5:AU5)</f>
        <v>1</v>
      </c>
      <c r="AW5" s="11">
        <f t="shared" ref="AW5:AW8" si="26">F5/60.085</f>
        <v>0.87043355246733789</v>
      </c>
      <c r="AX5" s="11">
        <f t="shared" ref="AX5:AX8" si="27">G5/79.899</f>
        <v>1.2015169151053204E-2</v>
      </c>
      <c r="AY5" s="11">
        <f t="shared" ref="AY5:AY8" si="28">H5/101.961</f>
        <v>0.16771118368788068</v>
      </c>
      <c r="AZ5" s="11">
        <f t="shared" ref="AZ5:AZ8" si="29">I5/71.846</f>
        <v>0.10800879659271218</v>
      </c>
      <c r="BA5" s="11">
        <f t="shared" ref="BA5:BA8" si="30">J5/70.937</f>
        <v>1.8326120360319721E-3</v>
      </c>
      <c r="BB5" s="11">
        <f t="shared" ref="BB5:BB8" si="31">K5/40.304</f>
        <v>0.2113934100833664</v>
      </c>
      <c r="BC5" s="11">
        <f t="shared" ref="BC5:BC8" si="32">L5/56.079</f>
        <v>0.155138287059327</v>
      </c>
      <c r="BD5" s="11">
        <f t="shared" ref="BD5:BD8" si="33">M5/61.979</f>
        <v>5.6793430032753028E-2</v>
      </c>
      <c r="BE5" s="11">
        <f t="shared" ref="BE5:BE8" si="34">N5/94.195</f>
        <v>8.386857051860503E-3</v>
      </c>
      <c r="BF5" s="11">
        <f t="shared" ref="BF5:BF8" si="35">O5/141.945</f>
        <v>1.268096798055585E-3</v>
      </c>
      <c r="BG5" s="11">
        <f t="shared" ref="BG5:BG8" si="36">P5/151.99</f>
        <v>0</v>
      </c>
      <c r="BH5" s="11">
        <f t="shared" ref="BH5:BH8" si="37">Q5/74.932</f>
        <v>0</v>
      </c>
      <c r="BI5" s="16">
        <f t="shared" ref="BI5:BI8" si="38">S5*1.2726*(10^-4)/74.692</f>
        <v>2.4705055427622774E-4</v>
      </c>
      <c r="BJ5" s="11">
        <f t="shared" ref="BJ5:BJ8" si="39">SUM(AW5:BI5)</f>
        <v>1.5932284455146546</v>
      </c>
      <c r="BK5" s="11">
        <f t="shared" ref="BK5:BK8" si="40">AW5/$BJ5</f>
        <v>0.54633317332353115</v>
      </c>
      <c r="BL5" s="11">
        <f t="shared" ref="BL5:BL8" si="41">AX5/$BJ5</f>
        <v>7.5413975848089938E-3</v>
      </c>
      <c r="BM5" s="11">
        <f t="shared" ref="BM5:BM8" si="42">AY5/$BJ5</f>
        <v>0.10526499458381536</v>
      </c>
      <c r="BN5" s="11">
        <f t="shared" ref="BN5:BN8" si="43">AZ5/$BJ5</f>
        <v>6.7792410370769204E-2</v>
      </c>
      <c r="BO5" s="11">
        <f t="shared" ref="BO5:BO8" si="44">BA5/$BJ5</f>
        <v>1.1502506380621333E-3</v>
      </c>
      <c r="BP5" s="11">
        <f t="shared" ref="BP5:BP8" si="45">BB5/$BJ5</f>
        <v>0.13268242271125205</v>
      </c>
      <c r="BQ5" s="11">
        <f t="shared" ref="BQ5:BQ8" si="46">BC5/$BJ5</f>
        <v>9.7373535788970469E-2</v>
      </c>
      <c r="BR5" s="11">
        <f t="shared" ref="BR5:BR8" si="47">BD5/$BJ5</f>
        <v>3.5646758751164062E-2</v>
      </c>
      <c r="BS5" s="11">
        <f t="shared" ref="BS5:BS8" si="48">BE5/$BJ5</f>
        <v>5.2640643439876124E-3</v>
      </c>
      <c r="BT5" s="11">
        <f t="shared" ref="BT5:BT8" si="49">BF5/$BJ5</f>
        <v>7.9592904685175665E-4</v>
      </c>
      <c r="BU5" s="11">
        <f t="shared" ref="BU5:BU8" si="50">BG5/$BJ5</f>
        <v>0</v>
      </c>
      <c r="BV5" s="11">
        <f t="shared" ref="BV5:BV8" si="51">BH5/$BJ5</f>
        <v>0</v>
      </c>
      <c r="BW5" s="11">
        <f t="shared" ref="BW5:BW8" si="52">BI5/$BJ5</f>
        <v>1.5506285678725998E-4</v>
      </c>
      <c r="BX5" s="11">
        <f t="shared" ref="BX5:BX8" si="53">SUM(BK5:BW5)</f>
        <v>1.0000000000000002</v>
      </c>
      <c r="BY5" s="10">
        <f t="shared" ref="BY5:BY8" si="54">(0.666-(-0.049*BO5+0.027*BN5-0.385*BV5-3.665*BW5))/(BP5+0.259*BO5+0.299*BN5+0.786*BV5+3.346*BW5)</f>
        <v>4.3233278675046369</v>
      </c>
      <c r="BZ5" s="10">
        <f t="shared" ref="BZ5:BZ8" si="55">BN5+BO5+BP5+BQ5+BV5+BW5</f>
        <v>0.29915368236584111</v>
      </c>
      <c r="CA5" s="10">
        <f t="shared" ref="CA5:CA8" si="56">3.5*LN(1-BM5)+7*LN(1-BL5)</f>
        <v>-0.4422867515138782</v>
      </c>
      <c r="CB5" s="3">
        <f t="shared" ref="CB5:CB8" si="57">(113.1*1000/8.314+(10^-4*10^9-10^5)/8.314*4.11*10^(-6))/(6.26+2*LN(BY5)+2*LN(1.5*BZ5)+2*LN(3*BK5)-CA5)-273.15</f>
        <v>1235.7004192418181</v>
      </c>
      <c r="CC5" s="10">
        <f t="shared" ref="CC5:CC8" si="58">AB5/(S5*1.2726/10000)</f>
        <v>26.012453462094978</v>
      </c>
      <c r="CD5" s="10">
        <f t="shared" ref="CD5:CD8" si="59">LN((BN5+BO5+BP5+BQ5+BV5+BW5)/BK5)</f>
        <v>-0.60227156800643333</v>
      </c>
      <c r="CE5" s="12">
        <f t="shared" ref="CE5:CE8" si="60">9250/(4.02+LN(CC5)+0.618*CD5)-273.15</f>
        <v>1066.1929388185972</v>
      </c>
      <c r="CF5" s="16">
        <f t="shared" ref="CF5:CF8" si="61">AR5/BP5</f>
        <v>4.3582177528153512</v>
      </c>
      <c r="CG5" s="12">
        <f t="shared" ref="CG5:CG8" si="62">6701/(LN(CF5)+1.12*LN($BZ5)-0.64*$CA5+1.08*LN($BK5)+4.74)-273.15</f>
        <v>1219.0699868540942</v>
      </c>
      <c r="CH5" s="12">
        <f t="shared" ref="CH5:CH8" si="63">CG5-CB5</f>
        <v>-16.630432387723886</v>
      </c>
      <c r="CI5" s="16">
        <f t="shared" ref="CI5:CI8" si="64">AU5/BW5</f>
        <v>20.561527938518271</v>
      </c>
      <c r="CJ5" s="12">
        <f t="shared" ref="CJ5:CJ8" si="65">9416/(LN(CI5)+0.71*LN($BZ5)-0.349*$CA5-0.532*LN($BK5)+4.319)-273.15</f>
        <v>1079.420140782217</v>
      </c>
      <c r="CK5" s="12">
        <f t="shared" ref="CK5:CK8" si="66">CJ5-CE5</f>
        <v>13.227201963619791</v>
      </c>
      <c r="CL5" s="3">
        <f t="shared" ref="CL5:CL8" si="67">CG5-CJ5</f>
        <v>139.64984607187716</v>
      </c>
      <c r="CM5" s="12"/>
      <c r="CN5" s="3"/>
    </row>
    <row r="6" spans="1:92" s="1" customFormat="1">
      <c r="A6" s="3">
        <f t="shared" si="2"/>
        <v>1219.0699868540942</v>
      </c>
      <c r="B6" s="3">
        <f t="shared" si="3"/>
        <v>1079.420140782217</v>
      </c>
      <c r="C6" s="3">
        <f t="shared" si="4"/>
        <v>139.64984607187716</v>
      </c>
      <c r="D6" s="4">
        <f t="shared" si="5"/>
        <v>5.0008218164204683</v>
      </c>
      <c r="E6" s="2" t="s">
        <v>57</v>
      </c>
      <c r="F6" s="2">
        <v>52.3</v>
      </c>
      <c r="G6" s="2">
        <v>0.96</v>
      </c>
      <c r="H6" s="2">
        <v>17.100000000000001</v>
      </c>
      <c r="I6" s="2">
        <v>7.76</v>
      </c>
      <c r="J6" s="2">
        <v>0.13</v>
      </c>
      <c r="K6" s="2">
        <v>8.52</v>
      </c>
      <c r="L6" s="2">
        <v>8.6999999999999993</v>
      </c>
      <c r="M6" s="2">
        <v>3.52</v>
      </c>
      <c r="N6" s="2">
        <v>0.79</v>
      </c>
      <c r="O6" s="2">
        <v>0.18</v>
      </c>
      <c r="P6" s="2">
        <v>0</v>
      </c>
      <c r="Q6" s="2">
        <v>0</v>
      </c>
      <c r="R6" s="1">
        <f t="shared" si="6"/>
        <v>99.960000000000008</v>
      </c>
      <c r="S6" s="5">
        <v>145</v>
      </c>
      <c r="T6" s="13" t="s">
        <v>69</v>
      </c>
      <c r="U6" s="14">
        <v>40.469499999999996</v>
      </c>
      <c r="V6" s="13">
        <v>5.8700000000000002E-2</v>
      </c>
      <c r="W6" s="14">
        <v>11.7889</v>
      </c>
      <c r="X6" s="13">
        <v>0.22090000000000001</v>
      </c>
      <c r="Y6" s="14">
        <v>46.975200000000001</v>
      </c>
      <c r="Z6" s="13">
        <v>0.1232</v>
      </c>
      <c r="AA6" s="13">
        <v>1.72E-2</v>
      </c>
      <c r="AB6" s="7">
        <v>0.48</v>
      </c>
      <c r="AC6" s="14">
        <v>100.0458</v>
      </c>
      <c r="AD6" s="8">
        <f t="shared" si="7"/>
        <v>87.659090623895551</v>
      </c>
      <c r="AE6" s="6">
        <f t="shared" si="8"/>
        <v>0.67353748855787632</v>
      </c>
      <c r="AF6" s="6">
        <f t="shared" si="9"/>
        <v>5.7571032061278339E-4</v>
      </c>
      <c r="AG6" s="6">
        <f t="shared" si="10"/>
        <v>0.16408568326698772</v>
      </c>
      <c r="AH6" s="6">
        <f t="shared" si="11"/>
        <v>3.1140307596881742E-3</v>
      </c>
      <c r="AI6" s="6">
        <f t="shared" si="12"/>
        <v>1.1655220325526001</v>
      </c>
      <c r="AJ6" s="6">
        <f t="shared" si="13"/>
        <v>2.196900800656217E-3</v>
      </c>
      <c r="AK6" s="6">
        <f t="shared" si="14"/>
        <v>1.1316533982498848E-4</v>
      </c>
      <c r="AL6" s="9">
        <f t="shared" si="15"/>
        <v>6.4263050085014662E-3</v>
      </c>
      <c r="AM6" s="6">
        <f t="shared" si="16"/>
        <v>2.0155713166067479</v>
      </c>
      <c r="AN6" s="6">
        <f t="shared" si="17"/>
        <v>0.33416703393645691</v>
      </c>
      <c r="AO6" s="6">
        <f t="shared" si="18"/>
        <v>2.8563133235196187E-4</v>
      </c>
      <c r="AP6" s="6">
        <f t="shared" si="19"/>
        <v>8.1409018830069999E-2</v>
      </c>
      <c r="AQ6" s="6">
        <f t="shared" si="20"/>
        <v>1.5449866417680041E-3</v>
      </c>
      <c r="AR6" s="6">
        <f t="shared" si="21"/>
        <v>0.57825889014672938</v>
      </c>
      <c r="AS6" s="6">
        <f t="shared" si="22"/>
        <v>1.0899643106425728E-3</v>
      </c>
      <c r="AT6" s="6">
        <f t="shared" si="23"/>
        <v>5.6145539923392269E-5</v>
      </c>
      <c r="AU6" s="9">
        <f t="shared" si="24"/>
        <v>3.1883292620577034E-3</v>
      </c>
      <c r="AV6" s="6">
        <f t="shared" si="25"/>
        <v>1</v>
      </c>
      <c r="AW6" s="11">
        <f t="shared" si="26"/>
        <v>0.87043355246733789</v>
      </c>
      <c r="AX6" s="11">
        <f t="shared" si="27"/>
        <v>1.2015169151053204E-2</v>
      </c>
      <c r="AY6" s="11">
        <f t="shared" si="28"/>
        <v>0.16771118368788068</v>
      </c>
      <c r="AZ6" s="11">
        <f t="shared" si="29"/>
        <v>0.10800879659271218</v>
      </c>
      <c r="BA6" s="11">
        <f t="shared" si="30"/>
        <v>1.8326120360319721E-3</v>
      </c>
      <c r="BB6" s="11">
        <f t="shared" si="31"/>
        <v>0.2113934100833664</v>
      </c>
      <c r="BC6" s="11">
        <f t="shared" si="32"/>
        <v>0.155138287059327</v>
      </c>
      <c r="BD6" s="11">
        <f t="shared" si="33"/>
        <v>5.6793430032753028E-2</v>
      </c>
      <c r="BE6" s="11">
        <f t="shared" si="34"/>
        <v>8.386857051860503E-3</v>
      </c>
      <c r="BF6" s="11">
        <f t="shared" si="35"/>
        <v>1.268096798055585E-3</v>
      </c>
      <c r="BG6" s="11">
        <f t="shared" si="36"/>
        <v>0</v>
      </c>
      <c r="BH6" s="11">
        <f t="shared" si="37"/>
        <v>0</v>
      </c>
      <c r="BI6" s="16">
        <f t="shared" si="38"/>
        <v>2.4705055427622774E-4</v>
      </c>
      <c r="BJ6" s="11">
        <f t="shared" si="39"/>
        <v>1.5932284455146546</v>
      </c>
      <c r="BK6" s="11">
        <f t="shared" si="40"/>
        <v>0.54633317332353115</v>
      </c>
      <c r="BL6" s="11">
        <f t="shared" si="41"/>
        <v>7.5413975848089938E-3</v>
      </c>
      <c r="BM6" s="11">
        <f t="shared" si="42"/>
        <v>0.10526499458381536</v>
      </c>
      <c r="BN6" s="11">
        <f t="shared" si="43"/>
        <v>6.7792410370769204E-2</v>
      </c>
      <c r="BO6" s="11">
        <f t="shared" si="44"/>
        <v>1.1502506380621333E-3</v>
      </c>
      <c r="BP6" s="11">
        <f t="shared" si="45"/>
        <v>0.13268242271125205</v>
      </c>
      <c r="BQ6" s="11">
        <f t="shared" si="46"/>
        <v>9.7373535788970469E-2</v>
      </c>
      <c r="BR6" s="11">
        <f t="shared" si="47"/>
        <v>3.5646758751164062E-2</v>
      </c>
      <c r="BS6" s="11">
        <f t="shared" si="48"/>
        <v>5.2640643439876124E-3</v>
      </c>
      <c r="BT6" s="11">
        <f t="shared" si="49"/>
        <v>7.9592904685175665E-4</v>
      </c>
      <c r="BU6" s="11">
        <f t="shared" si="50"/>
        <v>0</v>
      </c>
      <c r="BV6" s="11">
        <f t="shared" si="51"/>
        <v>0</v>
      </c>
      <c r="BW6" s="11">
        <f t="shared" si="52"/>
        <v>1.5506285678725998E-4</v>
      </c>
      <c r="BX6" s="11">
        <f t="shared" si="53"/>
        <v>1.0000000000000002</v>
      </c>
      <c r="BY6" s="10">
        <f t="shared" si="54"/>
        <v>4.3233278675046369</v>
      </c>
      <c r="BZ6" s="10">
        <f t="shared" si="55"/>
        <v>0.29915368236584111</v>
      </c>
      <c r="CA6" s="10">
        <f t="shared" si="56"/>
        <v>-0.4422867515138782</v>
      </c>
      <c r="CB6" s="3">
        <f t="shared" si="57"/>
        <v>1235.7004192418181</v>
      </c>
      <c r="CC6" s="10">
        <f t="shared" si="58"/>
        <v>26.012453462094978</v>
      </c>
      <c r="CD6" s="10">
        <f t="shared" si="59"/>
        <v>-0.60227156800643333</v>
      </c>
      <c r="CE6" s="12">
        <f t="shared" si="60"/>
        <v>1066.1929388185972</v>
      </c>
      <c r="CF6" s="16">
        <f t="shared" si="61"/>
        <v>4.3582177528153512</v>
      </c>
      <c r="CG6" s="12">
        <f t="shared" si="62"/>
        <v>1219.0699868540942</v>
      </c>
      <c r="CH6" s="12">
        <f t="shared" si="63"/>
        <v>-16.630432387723886</v>
      </c>
      <c r="CI6" s="16">
        <f t="shared" si="64"/>
        <v>20.561527938518271</v>
      </c>
      <c r="CJ6" s="12">
        <f t="shared" si="65"/>
        <v>1079.420140782217</v>
      </c>
      <c r="CK6" s="12">
        <f t="shared" si="66"/>
        <v>13.227201963619791</v>
      </c>
      <c r="CL6" s="3">
        <f t="shared" si="67"/>
        <v>139.64984607187716</v>
      </c>
      <c r="CM6" s="12"/>
      <c r="CN6" s="3"/>
    </row>
    <row r="7" spans="1:92" s="1" customFormat="1">
      <c r="A7" s="3">
        <f t="shared" si="2"/>
        <v>1219.0699868540942</v>
      </c>
      <c r="B7" s="3">
        <f t="shared" si="3"/>
        <v>1079.420140782217</v>
      </c>
      <c r="C7" s="3">
        <f t="shared" si="4"/>
        <v>139.64984607187716</v>
      </c>
      <c r="D7" s="4">
        <f t="shared" si="5"/>
        <v>5.0008218164204683</v>
      </c>
      <c r="E7" s="2" t="s">
        <v>57</v>
      </c>
      <c r="F7" s="2">
        <v>52.3</v>
      </c>
      <c r="G7" s="2">
        <v>0.96</v>
      </c>
      <c r="H7" s="2">
        <v>17.100000000000001</v>
      </c>
      <c r="I7" s="2">
        <v>7.76</v>
      </c>
      <c r="J7" s="2">
        <v>0.13</v>
      </c>
      <c r="K7" s="2">
        <v>8.52</v>
      </c>
      <c r="L7" s="2">
        <v>8.6999999999999993</v>
      </c>
      <c r="M7" s="2">
        <v>3.52</v>
      </c>
      <c r="N7" s="2">
        <v>0.79</v>
      </c>
      <c r="O7" s="2">
        <v>0.18</v>
      </c>
      <c r="P7" s="2">
        <v>0</v>
      </c>
      <c r="Q7" s="2">
        <v>0</v>
      </c>
      <c r="R7" s="1">
        <f t="shared" si="6"/>
        <v>99.960000000000008</v>
      </c>
      <c r="S7" s="5">
        <v>145</v>
      </c>
      <c r="T7" s="13" t="s">
        <v>69</v>
      </c>
      <c r="U7" s="14">
        <v>40.469499999999996</v>
      </c>
      <c r="V7" s="13">
        <v>5.8700000000000002E-2</v>
      </c>
      <c r="W7" s="14">
        <v>11.7889</v>
      </c>
      <c r="X7" s="13">
        <v>0.22090000000000001</v>
      </c>
      <c r="Y7" s="14">
        <v>46.975200000000001</v>
      </c>
      <c r="Z7" s="13">
        <v>0.1232</v>
      </c>
      <c r="AA7" s="13">
        <v>1.72E-2</v>
      </c>
      <c r="AB7" s="7">
        <v>0.48</v>
      </c>
      <c r="AC7" s="14">
        <v>100.0458</v>
      </c>
      <c r="AD7" s="8">
        <f t="shared" si="7"/>
        <v>87.659090623895551</v>
      </c>
      <c r="AE7" s="6">
        <f t="shared" si="8"/>
        <v>0.67353748855787632</v>
      </c>
      <c r="AF7" s="6">
        <f t="shared" si="9"/>
        <v>5.7571032061278339E-4</v>
      </c>
      <c r="AG7" s="6">
        <f t="shared" si="10"/>
        <v>0.16408568326698772</v>
      </c>
      <c r="AH7" s="6">
        <f t="shared" si="11"/>
        <v>3.1140307596881742E-3</v>
      </c>
      <c r="AI7" s="6">
        <f t="shared" si="12"/>
        <v>1.1655220325526001</v>
      </c>
      <c r="AJ7" s="6">
        <f t="shared" si="13"/>
        <v>2.196900800656217E-3</v>
      </c>
      <c r="AK7" s="6">
        <f t="shared" si="14"/>
        <v>1.1316533982498848E-4</v>
      </c>
      <c r="AL7" s="9">
        <f t="shared" si="15"/>
        <v>6.4263050085014662E-3</v>
      </c>
      <c r="AM7" s="6">
        <f t="shared" si="16"/>
        <v>2.0155713166067479</v>
      </c>
      <c r="AN7" s="6">
        <f t="shared" si="17"/>
        <v>0.33416703393645691</v>
      </c>
      <c r="AO7" s="6">
        <f t="shared" si="18"/>
        <v>2.8563133235196187E-4</v>
      </c>
      <c r="AP7" s="6">
        <f t="shared" si="19"/>
        <v>8.1409018830069999E-2</v>
      </c>
      <c r="AQ7" s="6">
        <f t="shared" si="20"/>
        <v>1.5449866417680041E-3</v>
      </c>
      <c r="AR7" s="6">
        <f t="shared" si="21"/>
        <v>0.57825889014672938</v>
      </c>
      <c r="AS7" s="6">
        <f t="shared" si="22"/>
        <v>1.0899643106425728E-3</v>
      </c>
      <c r="AT7" s="6">
        <f t="shared" si="23"/>
        <v>5.6145539923392269E-5</v>
      </c>
      <c r="AU7" s="9">
        <f t="shared" si="24"/>
        <v>3.1883292620577034E-3</v>
      </c>
      <c r="AV7" s="6">
        <f t="shared" si="25"/>
        <v>1</v>
      </c>
      <c r="AW7" s="11">
        <f t="shared" si="26"/>
        <v>0.87043355246733789</v>
      </c>
      <c r="AX7" s="11">
        <f t="shared" si="27"/>
        <v>1.2015169151053204E-2</v>
      </c>
      <c r="AY7" s="11">
        <f t="shared" si="28"/>
        <v>0.16771118368788068</v>
      </c>
      <c r="AZ7" s="11">
        <f t="shared" si="29"/>
        <v>0.10800879659271218</v>
      </c>
      <c r="BA7" s="11">
        <f t="shared" si="30"/>
        <v>1.8326120360319721E-3</v>
      </c>
      <c r="BB7" s="11">
        <f t="shared" si="31"/>
        <v>0.2113934100833664</v>
      </c>
      <c r="BC7" s="11">
        <f t="shared" si="32"/>
        <v>0.155138287059327</v>
      </c>
      <c r="BD7" s="11">
        <f t="shared" si="33"/>
        <v>5.6793430032753028E-2</v>
      </c>
      <c r="BE7" s="11">
        <f t="shared" si="34"/>
        <v>8.386857051860503E-3</v>
      </c>
      <c r="BF7" s="11">
        <f t="shared" si="35"/>
        <v>1.268096798055585E-3</v>
      </c>
      <c r="BG7" s="11">
        <f t="shared" si="36"/>
        <v>0</v>
      </c>
      <c r="BH7" s="11">
        <f t="shared" si="37"/>
        <v>0</v>
      </c>
      <c r="BI7" s="16">
        <f t="shared" si="38"/>
        <v>2.4705055427622774E-4</v>
      </c>
      <c r="BJ7" s="11">
        <f t="shared" si="39"/>
        <v>1.5932284455146546</v>
      </c>
      <c r="BK7" s="11">
        <f t="shared" si="40"/>
        <v>0.54633317332353115</v>
      </c>
      <c r="BL7" s="11">
        <f t="shared" si="41"/>
        <v>7.5413975848089938E-3</v>
      </c>
      <c r="BM7" s="11">
        <f t="shared" si="42"/>
        <v>0.10526499458381536</v>
      </c>
      <c r="BN7" s="11">
        <f t="shared" si="43"/>
        <v>6.7792410370769204E-2</v>
      </c>
      <c r="BO7" s="11">
        <f t="shared" si="44"/>
        <v>1.1502506380621333E-3</v>
      </c>
      <c r="BP7" s="11">
        <f t="shared" si="45"/>
        <v>0.13268242271125205</v>
      </c>
      <c r="BQ7" s="11">
        <f t="shared" si="46"/>
        <v>9.7373535788970469E-2</v>
      </c>
      <c r="BR7" s="11">
        <f t="shared" si="47"/>
        <v>3.5646758751164062E-2</v>
      </c>
      <c r="BS7" s="11">
        <f t="shared" si="48"/>
        <v>5.2640643439876124E-3</v>
      </c>
      <c r="BT7" s="11">
        <f t="shared" si="49"/>
        <v>7.9592904685175665E-4</v>
      </c>
      <c r="BU7" s="11">
        <f t="shared" si="50"/>
        <v>0</v>
      </c>
      <c r="BV7" s="11">
        <f t="shared" si="51"/>
        <v>0</v>
      </c>
      <c r="BW7" s="11">
        <f t="shared" si="52"/>
        <v>1.5506285678725998E-4</v>
      </c>
      <c r="BX7" s="11">
        <f t="shared" si="53"/>
        <v>1.0000000000000002</v>
      </c>
      <c r="BY7" s="10">
        <f t="shared" si="54"/>
        <v>4.3233278675046369</v>
      </c>
      <c r="BZ7" s="10">
        <f t="shared" si="55"/>
        <v>0.29915368236584111</v>
      </c>
      <c r="CA7" s="10">
        <f t="shared" si="56"/>
        <v>-0.4422867515138782</v>
      </c>
      <c r="CB7" s="3">
        <f t="shared" si="57"/>
        <v>1235.7004192418181</v>
      </c>
      <c r="CC7" s="10">
        <f t="shared" si="58"/>
        <v>26.012453462094978</v>
      </c>
      <c r="CD7" s="10">
        <f t="shared" si="59"/>
        <v>-0.60227156800643333</v>
      </c>
      <c r="CE7" s="12">
        <f t="shared" si="60"/>
        <v>1066.1929388185972</v>
      </c>
      <c r="CF7" s="16">
        <f t="shared" si="61"/>
        <v>4.3582177528153512</v>
      </c>
      <c r="CG7" s="12">
        <f t="shared" si="62"/>
        <v>1219.0699868540942</v>
      </c>
      <c r="CH7" s="12">
        <f t="shared" si="63"/>
        <v>-16.630432387723886</v>
      </c>
      <c r="CI7" s="16">
        <f t="shared" si="64"/>
        <v>20.561527938518271</v>
      </c>
      <c r="CJ7" s="12">
        <f t="shared" si="65"/>
        <v>1079.420140782217</v>
      </c>
      <c r="CK7" s="12">
        <f t="shared" si="66"/>
        <v>13.227201963619791</v>
      </c>
      <c r="CL7" s="3">
        <f t="shared" si="67"/>
        <v>139.64984607187716</v>
      </c>
      <c r="CM7" s="12"/>
      <c r="CN7" s="3"/>
    </row>
    <row r="8" spans="1:92" s="1" customFormat="1">
      <c r="A8" s="3">
        <f t="shared" si="2"/>
        <v>1219.0699868540942</v>
      </c>
      <c r="B8" s="3">
        <f t="shared" si="3"/>
        <v>1079.420140782217</v>
      </c>
      <c r="C8" s="3">
        <f t="shared" si="4"/>
        <v>139.64984607187716</v>
      </c>
      <c r="D8" s="4">
        <f t="shared" si="5"/>
        <v>5.0008218164204683</v>
      </c>
      <c r="E8" s="2" t="s">
        <v>57</v>
      </c>
      <c r="F8" s="2">
        <v>52.3</v>
      </c>
      <c r="G8" s="2">
        <v>0.96</v>
      </c>
      <c r="H8" s="2">
        <v>17.100000000000001</v>
      </c>
      <c r="I8" s="2">
        <v>7.76</v>
      </c>
      <c r="J8" s="2">
        <v>0.13</v>
      </c>
      <c r="K8" s="2">
        <v>8.52</v>
      </c>
      <c r="L8" s="2">
        <v>8.6999999999999993</v>
      </c>
      <c r="M8" s="2">
        <v>3.52</v>
      </c>
      <c r="N8" s="2">
        <v>0.79</v>
      </c>
      <c r="O8" s="2">
        <v>0.18</v>
      </c>
      <c r="P8" s="2">
        <v>0</v>
      </c>
      <c r="Q8" s="2">
        <v>0</v>
      </c>
      <c r="R8" s="1">
        <f t="shared" si="6"/>
        <v>99.960000000000008</v>
      </c>
      <c r="S8" s="5">
        <v>145</v>
      </c>
      <c r="T8" s="13" t="s">
        <v>69</v>
      </c>
      <c r="U8" s="14">
        <v>40.469499999999996</v>
      </c>
      <c r="V8" s="13">
        <v>5.8700000000000002E-2</v>
      </c>
      <c r="W8" s="14">
        <v>11.7889</v>
      </c>
      <c r="X8" s="13">
        <v>0.22090000000000001</v>
      </c>
      <c r="Y8" s="14">
        <v>46.975200000000001</v>
      </c>
      <c r="Z8" s="13">
        <v>0.1232</v>
      </c>
      <c r="AA8" s="13">
        <v>1.72E-2</v>
      </c>
      <c r="AB8" s="7">
        <v>0.48</v>
      </c>
      <c r="AC8" s="14">
        <v>100.0458</v>
      </c>
      <c r="AD8" s="8">
        <f t="shared" si="7"/>
        <v>87.659090623895551</v>
      </c>
      <c r="AE8" s="6">
        <f t="shared" si="8"/>
        <v>0.67353748855787632</v>
      </c>
      <c r="AF8" s="6">
        <f t="shared" si="9"/>
        <v>5.7571032061278339E-4</v>
      </c>
      <c r="AG8" s="6">
        <f t="shared" si="10"/>
        <v>0.16408568326698772</v>
      </c>
      <c r="AH8" s="6">
        <f t="shared" si="11"/>
        <v>3.1140307596881742E-3</v>
      </c>
      <c r="AI8" s="6">
        <f t="shared" si="12"/>
        <v>1.1655220325526001</v>
      </c>
      <c r="AJ8" s="6">
        <f t="shared" si="13"/>
        <v>2.196900800656217E-3</v>
      </c>
      <c r="AK8" s="6">
        <f t="shared" si="14"/>
        <v>1.1316533982498848E-4</v>
      </c>
      <c r="AL8" s="9">
        <f t="shared" si="15"/>
        <v>6.4263050085014662E-3</v>
      </c>
      <c r="AM8" s="6">
        <f t="shared" si="16"/>
        <v>2.0155713166067479</v>
      </c>
      <c r="AN8" s="6">
        <f t="shared" si="17"/>
        <v>0.33416703393645691</v>
      </c>
      <c r="AO8" s="6">
        <f t="shared" si="18"/>
        <v>2.8563133235196187E-4</v>
      </c>
      <c r="AP8" s="6">
        <f t="shared" si="19"/>
        <v>8.1409018830069999E-2</v>
      </c>
      <c r="AQ8" s="6">
        <f t="shared" si="20"/>
        <v>1.5449866417680041E-3</v>
      </c>
      <c r="AR8" s="6">
        <f t="shared" si="21"/>
        <v>0.57825889014672938</v>
      </c>
      <c r="AS8" s="6">
        <f t="shared" si="22"/>
        <v>1.0899643106425728E-3</v>
      </c>
      <c r="AT8" s="6">
        <f t="shared" si="23"/>
        <v>5.6145539923392269E-5</v>
      </c>
      <c r="AU8" s="9">
        <f t="shared" si="24"/>
        <v>3.1883292620577034E-3</v>
      </c>
      <c r="AV8" s="6">
        <f t="shared" si="25"/>
        <v>1</v>
      </c>
      <c r="AW8" s="11">
        <f t="shared" si="26"/>
        <v>0.87043355246733789</v>
      </c>
      <c r="AX8" s="11">
        <f t="shared" si="27"/>
        <v>1.2015169151053204E-2</v>
      </c>
      <c r="AY8" s="11">
        <f t="shared" si="28"/>
        <v>0.16771118368788068</v>
      </c>
      <c r="AZ8" s="11">
        <f t="shared" si="29"/>
        <v>0.10800879659271218</v>
      </c>
      <c r="BA8" s="11">
        <f t="shared" si="30"/>
        <v>1.8326120360319721E-3</v>
      </c>
      <c r="BB8" s="11">
        <f t="shared" si="31"/>
        <v>0.2113934100833664</v>
      </c>
      <c r="BC8" s="11">
        <f t="shared" si="32"/>
        <v>0.155138287059327</v>
      </c>
      <c r="BD8" s="11">
        <f t="shared" si="33"/>
        <v>5.6793430032753028E-2</v>
      </c>
      <c r="BE8" s="11">
        <f t="shared" si="34"/>
        <v>8.386857051860503E-3</v>
      </c>
      <c r="BF8" s="11">
        <f t="shared" si="35"/>
        <v>1.268096798055585E-3</v>
      </c>
      <c r="BG8" s="11">
        <f t="shared" si="36"/>
        <v>0</v>
      </c>
      <c r="BH8" s="11">
        <f t="shared" si="37"/>
        <v>0</v>
      </c>
      <c r="BI8" s="16">
        <f t="shared" si="38"/>
        <v>2.4705055427622774E-4</v>
      </c>
      <c r="BJ8" s="11">
        <f t="shared" si="39"/>
        <v>1.5932284455146546</v>
      </c>
      <c r="BK8" s="11">
        <f t="shared" si="40"/>
        <v>0.54633317332353115</v>
      </c>
      <c r="BL8" s="11">
        <f t="shared" si="41"/>
        <v>7.5413975848089938E-3</v>
      </c>
      <c r="BM8" s="11">
        <f t="shared" si="42"/>
        <v>0.10526499458381536</v>
      </c>
      <c r="BN8" s="11">
        <f t="shared" si="43"/>
        <v>6.7792410370769204E-2</v>
      </c>
      <c r="BO8" s="11">
        <f t="shared" si="44"/>
        <v>1.1502506380621333E-3</v>
      </c>
      <c r="BP8" s="11">
        <f t="shared" si="45"/>
        <v>0.13268242271125205</v>
      </c>
      <c r="BQ8" s="11">
        <f t="shared" si="46"/>
        <v>9.7373535788970469E-2</v>
      </c>
      <c r="BR8" s="11">
        <f t="shared" si="47"/>
        <v>3.5646758751164062E-2</v>
      </c>
      <c r="BS8" s="11">
        <f t="shared" si="48"/>
        <v>5.2640643439876124E-3</v>
      </c>
      <c r="BT8" s="11">
        <f t="shared" si="49"/>
        <v>7.9592904685175665E-4</v>
      </c>
      <c r="BU8" s="11">
        <f t="shared" si="50"/>
        <v>0</v>
      </c>
      <c r="BV8" s="11">
        <f t="shared" si="51"/>
        <v>0</v>
      </c>
      <c r="BW8" s="11">
        <f t="shared" si="52"/>
        <v>1.5506285678725998E-4</v>
      </c>
      <c r="BX8" s="11">
        <f t="shared" si="53"/>
        <v>1.0000000000000002</v>
      </c>
      <c r="BY8" s="10">
        <f t="shared" si="54"/>
        <v>4.3233278675046369</v>
      </c>
      <c r="BZ8" s="10">
        <f t="shared" si="55"/>
        <v>0.29915368236584111</v>
      </c>
      <c r="CA8" s="10">
        <f t="shared" si="56"/>
        <v>-0.4422867515138782</v>
      </c>
      <c r="CB8" s="3">
        <f t="shared" si="57"/>
        <v>1235.7004192418181</v>
      </c>
      <c r="CC8" s="10">
        <f t="shared" si="58"/>
        <v>26.012453462094978</v>
      </c>
      <c r="CD8" s="10">
        <f t="shared" si="59"/>
        <v>-0.60227156800643333</v>
      </c>
      <c r="CE8" s="12">
        <f t="shared" si="60"/>
        <v>1066.1929388185972</v>
      </c>
      <c r="CF8" s="16">
        <f t="shared" si="61"/>
        <v>4.3582177528153512</v>
      </c>
      <c r="CG8" s="12">
        <f t="shared" si="62"/>
        <v>1219.0699868540942</v>
      </c>
      <c r="CH8" s="12">
        <f t="shared" si="63"/>
        <v>-16.630432387723886</v>
      </c>
      <c r="CI8" s="16">
        <f t="shared" si="64"/>
        <v>20.561527938518271</v>
      </c>
      <c r="CJ8" s="12">
        <f t="shared" si="65"/>
        <v>1079.420140782217</v>
      </c>
      <c r="CK8" s="12">
        <f t="shared" si="66"/>
        <v>13.227201963619791</v>
      </c>
      <c r="CL8" s="3">
        <f t="shared" si="67"/>
        <v>139.64984607187716</v>
      </c>
      <c r="CM8" s="12"/>
      <c r="CN8" s="3"/>
    </row>
    <row r="11" spans="1:92">
      <c r="D11" s="4"/>
      <c r="E11" s="4"/>
    </row>
    <row r="12" spans="1:92">
      <c r="D12" s="4"/>
      <c r="E12" s="4"/>
    </row>
    <row r="13" spans="1:92">
      <c r="D13" s="4"/>
      <c r="E13" s="4"/>
    </row>
    <row r="14" spans="1:92">
      <c r="D14" s="4"/>
      <c r="E14" s="4"/>
    </row>
    <row r="15" spans="1:92">
      <c r="D15" s="4"/>
      <c r="E15" s="4"/>
    </row>
    <row r="16" spans="1:92">
      <c r="D16" s="4"/>
      <c r="E16" s="4"/>
    </row>
    <row r="17" spans="4:5">
      <c r="D17" s="4"/>
      <c r="E17" s="4"/>
    </row>
    <row r="18" spans="4:5">
      <c r="D18" s="4"/>
      <c r="E18" s="4"/>
    </row>
    <row r="19" spans="4:5">
      <c r="D19" s="4"/>
      <c r="E19" s="4"/>
    </row>
  </sheetData>
  <mergeCells count="20">
    <mergeCell ref="AE1:CL1"/>
    <mergeCell ref="T2:AD2"/>
    <mergeCell ref="E2:E3"/>
    <mergeCell ref="A1:D1"/>
    <mergeCell ref="E1:AD1"/>
    <mergeCell ref="CC2:CE2"/>
    <mergeCell ref="CF2:CH2"/>
    <mergeCell ref="CI2:CK2"/>
    <mergeCell ref="CL2:CL3"/>
    <mergeCell ref="C2:C3"/>
    <mergeCell ref="D2:D3"/>
    <mergeCell ref="F2:S2"/>
    <mergeCell ref="B2:B3"/>
    <mergeCell ref="A2:A3"/>
    <mergeCell ref="CM2:CN2"/>
    <mergeCell ref="BY2:CB2"/>
    <mergeCell ref="AE2:AM2"/>
    <mergeCell ref="AN2:AV2"/>
    <mergeCell ref="AW2:BJ2"/>
    <mergeCell ref="BK2:BX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</vt:lpstr>
    </vt:vector>
  </TitlesOfParts>
  <Company>University of Michigan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Xiaofei Pu</dc:creator>
  <cp:lastModifiedBy>Xiaofei Pu</cp:lastModifiedBy>
  <dcterms:created xsi:type="dcterms:W3CDTF">2017-03-27T20:03:23Z</dcterms:created>
  <dcterms:modified xsi:type="dcterms:W3CDTF">2017-04-13T14:12:03Z</dcterms:modified>
</cp:coreProperties>
</file>