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20" yWindow="1240" windowWidth="32540" windowHeight="18900" tabRatio="856" activeTab="0"/>
  </bookViews>
  <sheets>
    <sheet name="Ea &amp; lnD0" sheetId="1" r:id="rId1"/>
  </sheets>
  <definedNames/>
  <calcPr fullCalcOnLoad="1"/>
</workbook>
</file>

<file path=xl/sharedStrings.xml><?xml version="1.0" encoding="utf-8"?>
<sst xmlns="http://schemas.openxmlformats.org/spreadsheetml/2006/main" count="2381" uniqueCount="724">
  <si>
    <t>lnD=-14.19-(25867-4892*sqrt(w))/T where T is in K and w is wt% of H2Ot</t>
  </si>
  <si>
    <t>all dry melts</t>
  </si>
  <si>
    <t>1083-1873</t>
  </si>
  <si>
    <t>lnD=-10.92-(81534X1+22351X2-28958-290P)/T where T is in KP is in GPa, X1=X(SA)=Si+Al and X2=X(NK)=Na+K</t>
  </si>
  <si>
    <t>dry basalt-andesite-dacite</t>
  </si>
  <si>
    <t>pressure effect is insignificant</t>
  </si>
  <si>
    <t>lnD=-15.22-(23941-4717*sqrt(w))/T where T is in K and w is wt% of H2Ot</t>
  </si>
  <si>
    <t>lnD=-14.13-(25128-4810*sqrt(w))/T where T is in K and w is wt% of H2Ot</t>
  </si>
  <si>
    <t>Nd</t>
  </si>
  <si>
    <t>lnD=-7.45-(31697-2937*sqrt(w))/T where T is in K and w is wt% of H2Ot</t>
  </si>
  <si>
    <t>lnD=-14.57-(24391-4615*sqrt(w))/T where T is in K and w is wt% of H2Ot</t>
  </si>
  <si>
    <t>lnD=-6.62-(33207-3149*sqrt(w))/T where T is in K and w is wt% of H2Ot</t>
  </si>
  <si>
    <t>lnD=-14.70-(24485-4790*sqrt(w))/T where T is in K and w is wt% of H2Ot</t>
  </si>
  <si>
    <t>lnD=-6.55-(33656-3294*sqrt(w))/T where T is in K and w is wt% of H2Ot</t>
  </si>
  <si>
    <t>lnD=-13.60-(26366-5021*sqrt(w))/T where T is in K and w is wt% of H2Ot</t>
  </si>
  <si>
    <t>0.75-2.0</t>
  </si>
  <si>
    <t>lnD = -1.93 -(46240-2040P)/T where T is in K and P is in GPa</t>
  </si>
  <si>
    <t>lnD = -1.30 -(47186-1953P)/T where T is in K and P is in GPa</t>
  </si>
  <si>
    <t>lnD=-6.96-(33718-3570*sqrt(w))/T where T is in K and w is wt% of H2Ot</t>
  </si>
  <si>
    <t>wet rhyolite8</t>
  </si>
  <si>
    <t>1348-1548</t>
  </si>
  <si>
    <t>1448-1723</t>
  </si>
  <si>
    <t>1273-1673</t>
  </si>
  <si>
    <t>dry and wet phonolote1</t>
  </si>
  <si>
    <t>Y</t>
  </si>
  <si>
    <t>Tracer</t>
  </si>
  <si>
    <t>0-1.9</t>
  </si>
  <si>
    <t>dry and wet trachyte1</t>
  </si>
  <si>
    <t>0-1.7</t>
  </si>
  <si>
    <t>lnD=-7.58-(31693-2132*sqrt(w))/T where T is in K and w is wt% of H2Ot</t>
  </si>
  <si>
    <t>lnD=-15.88-(15429-547w)/T where T is in K and w is wt% of H2Ot</t>
  </si>
  <si>
    <t>lnD=-14.57-(18963-605w)/T where T is in K and w is wt% of H2Ot</t>
  </si>
  <si>
    <t>lnD=-11.43-(21110-481w)/T where T is in K and w is wt% of H2Ot</t>
  </si>
  <si>
    <t>lnD=-13.04-(17624-312w)/T where T is in K and w is wt% of H2Ot</t>
  </si>
  <si>
    <t>La</t>
  </si>
  <si>
    <t>lnD=-6.44-(33135-2941*sqrt(w))/T where T is in K and w is wt% of H2Ot</t>
  </si>
  <si>
    <t>lnD = 16.53-32.43X1-37.3X2-(51068-27975X1-68760X2+1649P)/T  where T is in K, P is in GPa, X1=mole fractions of Si+Ti+Al+P, and X2=max(Na+K-Al,0)</t>
  </si>
  <si>
    <t>This work</t>
  </si>
  <si>
    <t>This work</t>
  </si>
  <si>
    <t>basalt4; HB1; LB1</t>
  </si>
  <si>
    <t>rhyolites</t>
  </si>
  <si>
    <t>≤1</t>
  </si>
  <si>
    <t>basalts</t>
  </si>
  <si>
    <t>Sr</t>
  </si>
  <si>
    <t>HR7</t>
  </si>
  <si>
    <t>B</t>
  </si>
  <si>
    <t>Tracer and FEBD</t>
  </si>
  <si>
    <t>lnD = -8.56-0.486C-(39664-1162C)/T where T is in K and C is wt% of B2O3</t>
  </si>
  <si>
    <t>andesite1(oliv&amp;cpx diss)</t>
  </si>
  <si>
    <t>basalt to andesite</t>
  </si>
  <si>
    <t>Al</t>
  </si>
  <si>
    <t>This work</t>
  </si>
  <si>
    <t>lnD = -0.88-18.02X-(23111+5918X)/T where T is in K and X is cation mole fraciton of Si</t>
  </si>
  <si>
    <t>lnD = -11.77-(22875-1155w)/T  where w is H2Ot wt%, T is in K</t>
  </si>
  <si>
    <t>trachyte1</t>
  </si>
  <si>
    <t>Tracer</t>
  </si>
  <si>
    <t>wet trachyte1</t>
  </si>
  <si>
    <t>Tracer</t>
  </si>
  <si>
    <t>Tracer</t>
  </si>
  <si>
    <t>lnD = -13.82-(19137-3458w)/T  where w is H2Ot wt%, T is in K</t>
  </si>
  <si>
    <t>orthoclase melt</t>
  </si>
  <si>
    <t>Jambon1976GCA 40; 897</t>
  </si>
  <si>
    <t>Comments</t>
  </si>
  <si>
    <t>Mungall (2002) dismissed the data</t>
  </si>
  <si>
    <t>HD2</t>
  </si>
  <si>
    <t>all dry basalt</t>
  </si>
  <si>
    <t>Self</t>
  </si>
  <si>
    <t>SD, TD, SEBD</t>
  </si>
  <si>
    <t>SD &amp; TD</t>
  </si>
  <si>
    <t>Tracer</t>
  </si>
  <si>
    <t>basalt11(oliv&amp;cpx diss)</t>
  </si>
  <si>
    <t>Ti</t>
  </si>
  <si>
    <t>Chen2009GCA 73; 5730</t>
  </si>
  <si>
    <t>basalt11(oliv diss)</t>
  </si>
  <si>
    <t>SEBD</t>
  </si>
  <si>
    <t>basalt11(cpx diss)</t>
  </si>
  <si>
    <t>Chen2009GCA 73; 5730</t>
  </si>
  <si>
    <t>andesite1(cpx diss)</t>
  </si>
  <si>
    <t>basalt11(cpx diss)</t>
  </si>
  <si>
    <t>andesite1(oliv diss)</t>
  </si>
  <si>
    <t>basalt11(oliv diss)</t>
  </si>
  <si>
    <t>rhyolite12(ap diss)</t>
  </si>
  <si>
    <t>wet rhyolite12(ap diss)</t>
  </si>
  <si>
    <t>Tracer</t>
  </si>
  <si>
    <t>Self and tracer</t>
  </si>
  <si>
    <t>Self and tracer</t>
  </si>
  <si>
    <t>Tracer and SEBD</t>
  </si>
  <si>
    <t>Chen2008GCA 72; 4756; Chen2009GCA 73; 5730</t>
  </si>
  <si>
    <t>Lesher1986GCA 50; 1391</t>
  </si>
  <si>
    <t>rhyolite5 &amp; rhyolite15</t>
  </si>
  <si>
    <t>411-1173</t>
  </si>
  <si>
    <t>≤0.2</t>
  </si>
  <si>
    <t>Tracer</t>
  </si>
  <si>
    <t>This work</t>
  </si>
  <si>
    <t>This work</t>
  </si>
  <si>
    <t>rhyolite15 &amp; HR7</t>
  </si>
  <si>
    <t>All dry melts</t>
  </si>
  <si>
    <t>This volume</t>
  </si>
  <si>
    <t>wet trachyte1</t>
  </si>
  <si>
    <t>trachyte1</t>
  </si>
  <si>
    <t>dacite1</t>
  </si>
  <si>
    <t>orthoclase melt</t>
  </si>
  <si>
    <t>Ab39Or61 melt</t>
  </si>
  <si>
    <t>Ab25Or75 melt</t>
  </si>
  <si>
    <t>HR7+Na</t>
  </si>
  <si>
    <t>Ab50Or50 melt</t>
  </si>
  <si>
    <t>wet rhyolite8-dacite1</t>
  </si>
  <si>
    <t>dacite</t>
  </si>
  <si>
    <t>Ab75Or25 melt</t>
  </si>
  <si>
    <t>albite melt</t>
  </si>
  <si>
    <t>HD1</t>
  </si>
  <si>
    <t>dacite4</t>
  </si>
  <si>
    <t>albite melt</t>
  </si>
  <si>
    <t>dacite4(pitchstone)</t>
  </si>
  <si>
    <t>pantellerite1</t>
  </si>
  <si>
    <t>HR1</t>
  </si>
  <si>
    <t>rhyolite1</t>
  </si>
  <si>
    <t>rhyolite2</t>
  </si>
  <si>
    <t>HD2-rhyolite8 couple</t>
  </si>
  <si>
    <t>rhyolite1-rhyolite8</t>
  </si>
  <si>
    <t>rhyolite5</t>
  </si>
  <si>
    <t>rhyolite8</t>
  </si>
  <si>
    <t>wet rhyolite12</t>
  </si>
  <si>
    <t>rhyolite12(Ap diss)</t>
  </si>
  <si>
    <t>wet rhyolite12(Mon diss)</t>
  </si>
  <si>
    <t>rhyolite14</t>
  </si>
  <si>
    <t>rhyolite15</t>
  </si>
  <si>
    <t>rhyolite17</t>
  </si>
  <si>
    <t>HR7 (HPG8)</t>
  </si>
  <si>
    <t>wet HR7</t>
  </si>
  <si>
    <t>Tracer</t>
  </si>
  <si>
    <t>FEBD</t>
  </si>
  <si>
    <t>Jambon1978EPSL 37; 445</t>
  </si>
  <si>
    <t>FEBD</t>
  </si>
  <si>
    <t>binary ID</t>
  </si>
  <si>
    <t>0.01-1</t>
  </si>
  <si>
    <t>973-1226</t>
  </si>
  <si>
    <t>lnD = -10.51-(26878-283.7P)/T where T is in K and P is in GPa</t>
  </si>
  <si>
    <t>Magaritz1982GCA 42; 595</t>
  </si>
  <si>
    <t>1528-1738</t>
  </si>
  <si>
    <t>973-1268</t>
  </si>
  <si>
    <t>1517-1672</t>
  </si>
  <si>
    <t>1567-1763</t>
  </si>
  <si>
    <t>0-0.07</t>
  </si>
  <si>
    <t>0-0.1</t>
  </si>
  <si>
    <t>∞</t>
  </si>
  <si>
    <t>1573-1873</t>
  </si>
  <si>
    <t>Equations to list activation energy (E/R) and pre-exponential factor (D0)</t>
  </si>
  <si>
    <t>lnD0</t>
  </si>
  <si>
    <t>dif species</t>
  </si>
  <si>
    <t>Tracer</t>
  </si>
  <si>
    <t>This work</t>
  </si>
  <si>
    <t>Anhydrous melt composition (wt%)</t>
  </si>
  <si>
    <t>basalt1</t>
  </si>
  <si>
    <t>HB1</t>
  </si>
  <si>
    <t>basalt4</t>
  </si>
  <si>
    <t>wet basalt4</t>
  </si>
  <si>
    <t>basalt5</t>
  </si>
  <si>
    <t>basalt4</t>
  </si>
  <si>
    <t>basalt6</t>
  </si>
  <si>
    <t>CMAS1</t>
  </si>
  <si>
    <t>basalt11(oliv disso)</t>
  </si>
  <si>
    <t>basalt10</t>
  </si>
  <si>
    <t>mugearite</t>
  </si>
  <si>
    <t>NMAS1</t>
  </si>
  <si>
    <t>K-phonolite</t>
  </si>
  <si>
    <t>Na-phonolite</t>
  </si>
  <si>
    <t>andesite2</t>
  </si>
  <si>
    <t>jadeite melt</t>
  </si>
  <si>
    <t>Di52An48</t>
  </si>
  <si>
    <t>Ab30An70 melt</t>
  </si>
  <si>
    <t>Ab40An60 melt</t>
  </si>
  <si>
    <t>Ab50An50 melt</t>
  </si>
  <si>
    <t>phonolite1</t>
  </si>
  <si>
    <t>wet phonolite1</t>
  </si>
  <si>
    <t>dry and wet phonolite1</t>
  </si>
  <si>
    <t>wet HA1</t>
  </si>
  <si>
    <t>855-1313</t>
  </si>
  <si>
    <t>1573-1672</t>
  </si>
  <si>
    <t>1569-1674</t>
  </si>
  <si>
    <t>1576-1675</t>
  </si>
  <si>
    <t>lnD=lnw-11.9-17975/T where T is in K, and w is H2Ot wt%</t>
  </si>
  <si>
    <t>633-1226</t>
  </si>
  <si>
    <t>Fe2+</t>
  </si>
  <si>
    <t>Di to Di40An60</t>
  </si>
  <si>
    <t>1743-1963</t>
  </si>
  <si>
    <t>∞</t>
  </si>
  <si>
    <t>758-1173</t>
  </si>
  <si>
    <t>lnD=(-13.36-(11918-7684X)/T where X is mole fraction of NaAlO2+KAlO2</t>
  </si>
  <si>
    <t>1543-1873</t>
  </si>
  <si>
    <t>Low-K andesite</t>
  </si>
  <si>
    <t>basalt(Etna)</t>
  </si>
  <si>
    <t>1423-1723</t>
  </si>
  <si>
    <t>basalt(Stromboli)</t>
  </si>
  <si>
    <t>1148-1573</t>
  </si>
  <si>
    <t>1148-16731</t>
  </si>
  <si>
    <t>0.0001 and 0.8</t>
  </si>
  <si>
    <t>dry rhy2 (excl. 2 outlier points) and wet rhy3(1%)</t>
  </si>
  <si>
    <t>0.75-2</t>
  </si>
  <si>
    <t>lnD=-4.22-(41337-1687P)/T where T is in K, P is in GPa and D is in m2/s</t>
  </si>
  <si>
    <t>dry HB &amp; basalt(L94)</t>
  </si>
  <si>
    <t>3.61-3.67</t>
  </si>
  <si>
    <t>1534-1713</t>
  </si>
  <si>
    <t>Roselieb1998NJMA 172; 245</t>
  </si>
  <si>
    <t>630-731</t>
  </si>
  <si>
    <t>948-1173</t>
  </si>
  <si>
    <t>Magaritz1978GCA 42; 595</t>
  </si>
  <si>
    <t>Hofmann1977JGR 82; 5432</t>
  </si>
  <si>
    <t>1783-2037</t>
  </si>
  <si>
    <t>1273-1723</t>
  </si>
  <si>
    <t>0-2.6</t>
  </si>
  <si>
    <t>lnD = -9.08-4.32w-(28512-7900w)/T where T is in K and w is wt% of H2Ot</t>
  </si>
  <si>
    <t>lnD = -11.08-(27290-2994w)/T where T is in K and w is wt% of H2Ot</t>
  </si>
  <si>
    <t>lnD = -6.34-(30799-1492w)/T where T is in K and w is wt% of H2Ot</t>
  </si>
  <si>
    <t>lnD = -6.37-2.65u - (44729-1093P-8944u)/T where T is in K, P is in GPa, and u is sqrt of H2Ot wt%</t>
  </si>
  <si>
    <t>lnD = -7.02-1.30u - (44682-1370P-7281u)/T where T is in K, P is in GPa, and u is sqrt of H2Ot wt%</t>
  </si>
  <si>
    <t>Same as La</t>
  </si>
  <si>
    <t>same as La</t>
  </si>
  <si>
    <t>1532-1719</t>
  </si>
  <si>
    <t>all dry basalts (basalt1; basalt3; and haplobasalt)</t>
  </si>
  <si>
    <t>1534-1773</t>
  </si>
  <si>
    <t>1553-1713</t>
  </si>
  <si>
    <t>1544-1713</t>
  </si>
  <si>
    <t>4.3?</t>
  </si>
  <si>
    <t>0.0001?</t>
  </si>
  <si>
    <t>1544-1709</t>
  </si>
  <si>
    <t>1623-1773</t>
  </si>
  <si>
    <t>Nb</t>
  </si>
  <si>
    <t>Na</t>
  </si>
  <si>
    <t>Ca-44</t>
  </si>
  <si>
    <t>1470-1575</t>
  </si>
  <si>
    <t>1575-1672</t>
  </si>
  <si>
    <t>1571-1673</t>
  </si>
  <si>
    <t>1073-1740</t>
  </si>
  <si>
    <t>5.8-6.0</t>
  </si>
  <si>
    <t>All available melts</t>
  </si>
  <si>
    <t>Cr</t>
  </si>
  <si>
    <t>Nb</t>
  </si>
  <si>
    <t>1171-1673</t>
  </si>
  <si>
    <t>1123-1223</t>
  </si>
  <si>
    <t>1534-1826</t>
  </si>
  <si>
    <t>1083-1473</t>
  </si>
  <si>
    <t>Zr</t>
  </si>
  <si>
    <t>lnD=(-11.51-0.6067w+0.95X)-(16976-1189w)/T where X is mole fraction of Or in Ab-Or melt and w is wt% of H2Ot</t>
  </si>
  <si>
    <t>Ti</t>
  </si>
  <si>
    <t>lnD = -3.50+1.298*w1-0.1462*w2-(24673+1352*w1)/T where T is in K; w1 is wt% of H2O and w2 is wt% of SiO2</t>
  </si>
  <si>
    <t>lnD = -35.37+0.43w -(1016.76w-32282)/T where T is in K and w is wt% of SiO2</t>
  </si>
  <si>
    <t>lnD = -18.58-0.111w where w is wt% of SiO2</t>
  </si>
  <si>
    <t>1544-1790</t>
  </si>
  <si>
    <t>air &amp; reduced</t>
  </si>
  <si>
    <t>1623-1773</t>
  </si>
  <si>
    <t>CAS</t>
  </si>
  <si>
    <t>1618-1823</t>
  </si>
  <si>
    <t>Ta</t>
  </si>
  <si>
    <t>0.01-0.02</t>
  </si>
  <si>
    <t>0.5-2.1</t>
  </si>
  <si>
    <t>∞</t>
  </si>
  <si>
    <t>1574-1675</t>
  </si>
  <si>
    <t>1561-1674</t>
  </si>
  <si>
    <t>1577-1673</t>
  </si>
  <si>
    <t>lnD is assumed to be linear to H2Ot content</t>
  </si>
  <si>
    <t>Balcone-Boissard2009CG 263; 89</t>
  </si>
  <si>
    <t>lnD = -10.87-(23066+1050P)/T  where T is in K and P is in GPa</t>
  </si>
  <si>
    <t>905-1083</t>
  </si>
  <si>
    <t>SEBD</t>
  </si>
  <si>
    <t>SD and SEBD</t>
  </si>
  <si>
    <t>1569-1673</t>
  </si>
  <si>
    <t>1.1-1.7</t>
  </si>
  <si>
    <t>0.03-0.07</t>
  </si>
  <si>
    <t>lnD=lnw-18.10+1.888P-(9699+3626P)/T where T is in K, P is in GPa, and w is H2Ot in wt%</t>
  </si>
  <si>
    <t>1528-1773</t>
  </si>
  <si>
    <t>0.0001-1</t>
  </si>
  <si>
    <t>0.5-1.3</t>
  </si>
  <si>
    <t>dry andesite(oliv diss)</t>
  </si>
  <si>
    <t>lnD=-3.05-(37621-308.6P)/T where T is in K and P is in GPa</t>
  </si>
  <si>
    <t>Lesher1996GCA 60; 405</t>
  </si>
  <si>
    <t>Tinker2003GCA 67; 133</t>
  </si>
  <si>
    <t>Tinker2001AM 86; 1</t>
  </si>
  <si>
    <t>dry jadeite vs P</t>
  </si>
  <si>
    <t>SEBD</t>
  </si>
  <si>
    <t>5 to 12</t>
  </si>
  <si>
    <t>50-75</t>
  </si>
  <si>
    <t>1083-1473</t>
  </si>
  <si>
    <t>lnD=lnw-16.55-(10870+1101P)/T where T is in K, P is in GPa</t>
  </si>
  <si>
    <t>Dingwell1984GCA 48; 2517</t>
  </si>
  <si>
    <t>Dingwell1985EPSL 73; 377</t>
  </si>
  <si>
    <t>lnD=lnw-13.32-(15722+1466P)/T where T is in K, P is in GPa</t>
  </si>
  <si>
    <t>1023-1573</t>
  </si>
  <si>
    <t>1273-1673</t>
  </si>
  <si>
    <t>1.9-2</t>
  </si>
  <si>
    <t>6.0-6.2</t>
  </si>
  <si>
    <t>2.0-2.1</t>
  </si>
  <si>
    <t>3.9-4.0</t>
  </si>
  <si>
    <t>Cooper1964JACS 47; 37</t>
  </si>
  <si>
    <t>742-1183</t>
  </si>
  <si>
    <t>1572-1671</t>
  </si>
  <si>
    <t>0.0001-2</t>
  </si>
  <si>
    <t>1073-1723</t>
  </si>
  <si>
    <t>0-1</t>
  </si>
  <si>
    <t>1373-1523</t>
  </si>
  <si>
    <t>lnD = 5.3-17.64*X1-29879/T where X1=Si+Ti+Al+P (cation mole fractions)</t>
  </si>
  <si>
    <t>1503-1696</t>
  </si>
  <si>
    <t>1073-1291</t>
  </si>
  <si>
    <t>lnD = -8.63-(25996+1805w)/T  where T is in K and Cw is H2Ot wt%</t>
  </si>
  <si>
    <t>1.6-1.86</t>
  </si>
  <si>
    <t>0.5-1.9</t>
  </si>
  <si>
    <t>1-2.1</t>
  </si>
  <si>
    <t>LaTourrette1997GCA 61; 755</t>
  </si>
  <si>
    <t>lnD=-14.26+1.888P-37.26X-(12939+3626P-75884X)/T where T is in K, P is in GPa, X is mole fraction of H2Ot on a single oxygen basis</t>
  </si>
  <si>
    <t>0-0.02</t>
  </si>
  <si>
    <t>1171-1273</t>
  </si>
  <si>
    <t>lnD = -14.34-(20885+3065w)/T  where T is in K and Cw is H2Ot wt%</t>
  </si>
  <si>
    <t>IEBD</t>
  </si>
  <si>
    <t>1509-1790</t>
  </si>
  <si>
    <t>0.3-0.4</t>
  </si>
  <si>
    <t>978-1313</t>
  </si>
  <si>
    <t>789-1516</t>
  </si>
  <si>
    <t>0-1.4</t>
  </si>
  <si>
    <t>0-4.6</t>
  </si>
  <si>
    <t>Nd</t>
  </si>
  <si>
    <t>All dry plag melts</t>
  </si>
  <si>
    <t>793-1268</t>
  </si>
  <si>
    <t>1073-1293</t>
  </si>
  <si>
    <t>1738-2037</t>
  </si>
  <si>
    <t>lnD=-10.52-(26331-240P)/T where T is in K and P is in GPa</t>
  </si>
  <si>
    <t>NS4</t>
  </si>
  <si>
    <t>1893-2800</t>
  </si>
  <si>
    <t>1410-1826</t>
  </si>
  <si>
    <t>0-0.4</t>
  </si>
  <si>
    <t>basalt to rhyolite</t>
  </si>
  <si>
    <t>SEBD(Soret)</t>
  </si>
  <si>
    <t>Self</t>
  </si>
  <si>
    <t>lnD=(-16.87+5.32*X)-(6158+5769*X+12480*X^2)/T where X is mole fraction of An in plagioclase</t>
  </si>
  <si>
    <t>Baker1995GCA 59; 3561</t>
  </si>
  <si>
    <t>0.6-2</t>
  </si>
  <si>
    <t>4.9-5.2</t>
  </si>
  <si>
    <t>1373-1583</t>
  </si>
  <si>
    <t>1473-1575</t>
  </si>
  <si>
    <t>Be</t>
  </si>
  <si>
    <t>Pb</t>
  </si>
  <si>
    <t>MnO</t>
  </si>
  <si>
    <t>Sr</t>
  </si>
  <si>
    <t>Koepke2001GCA 65; 1481</t>
  </si>
  <si>
    <t>Ni</t>
  </si>
  <si>
    <t>Entry#</t>
  </si>
  <si>
    <t>Melt</t>
  </si>
  <si>
    <t>C range</t>
  </si>
  <si>
    <t>CaO</t>
  </si>
  <si>
    <t>Na2O</t>
  </si>
  <si>
    <t>Al2O3</t>
  </si>
  <si>
    <t>FeOt</t>
  </si>
  <si>
    <t>Harrison1984GCA 48; 1467</t>
  </si>
  <si>
    <t>dif compon</t>
  </si>
  <si>
    <t>1323-1523</t>
  </si>
  <si>
    <t>Dy</t>
  </si>
  <si>
    <t>Alletti2007GCA 71; 3570</t>
  </si>
  <si>
    <t>Koepke2001GCA 65; 1481</t>
  </si>
  <si>
    <t>1373-1573</t>
  </si>
  <si>
    <t>Zr</t>
  </si>
  <si>
    <t>&lt;0.8</t>
  </si>
  <si>
    <t>1448-1673</t>
  </si>
  <si>
    <t>lnD = -5.17-11.37*X1-2.16*X2-(10993+17839*X3)/T where T is in K, X1=X(Si); X2=X(FM) and X3=X(SA) where FM=Fe+Mn+Mg and SA=Si+Al (cation mole fractions)</t>
  </si>
  <si>
    <t>Baker1994CMP 117; 203</t>
  </si>
  <si>
    <t>1567-1671</t>
  </si>
  <si>
    <t>1575-1676</t>
  </si>
  <si>
    <t>1573-1672</t>
  </si>
  <si>
    <t>Ti</t>
  </si>
  <si>
    <t>728-1053</t>
  </si>
  <si>
    <t>Ab10An90</t>
  </si>
  <si>
    <t>676-1900</t>
  </si>
  <si>
    <t>0 to 1.9</t>
  </si>
  <si>
    <t>1558-1648</t>
  </si>
  <si>
    <t>lnD=-12.27-13.91X-(18172-73136X)/T where T is in K, X is mole fraction of H2Ot on a single oxygen basis</t>
  </si>
  <si>
    <t>673-1773</t>
  </si>
  <si>
    <t>lnD=-17.19-(12693-360P)/T where T is in K and P is in GPa</t>
  </si>
  <si>
    <t>923-1298</t>
  </si>
  <si>
    <t>905-1204</t>
  </si>
  <si>
    <t>623-1068</t>
  </si>
  <si>
    <t>953-1163</t>
  </si>
  <si>
    <t>dry basalt to rhyolite</t>
  </si>
  <si>
    <t>peralkaline rhyolite</t>
  </si>
  <si>
    <t>Mn</t>
  </si>
  <si>
    <t>0.2-0.4</t>
  </si>
  <si>
    <t>Gd</t>
  </si>
  <si>
    <t>1373-1523</t>
  </si>
  <si>
    <t>lnD=lnw-11.8-18340/T where T is in K, and w is H2Ot wt%</t>
  </si>
  <si>
    <t>lnD=lnw-8.56-19110/T where T is in K, and w is H2Ot wt%</t>
  </si>
  <si>
    <t>4.5-5.2</t>
  </si>
  <si>
    <t>0.04-0.1</t>
  </si>
  <si>
    <t>1323-1527</t>
  </si>
  <si>
    <t>Rb</t>
  </si>
  <si>
    <t>Behrens2009CG 259; 63</t>
  </si>
  <si>
    <t>Nd</t>
  </si>
  <si>
    <t>air and reduced</t>
  </si>
  <si>
    <t>Mn</t>
  </si>
  <si>
    <t>lnD = -10.84-(32970-770P)/T where T is in K and P is in GPa</t>
  </si>
  <si>
    <t>Ge</t>
  </si>
  <si>
    <t>0.8-14</t>
  </si>
  <si>
    <t>Na</t>
  </si>
  <si>
    <t>Roselieb2002GCA 66; 109</t>
  </si>
  <si>
    <t>Behrens1992CG 96; 267</t>
  </si>
  <si>
    <t>1410-1873</t>
  </si>
  <si>
    <t>Perez1996GCA 60; 1387</t>
  </si>
  <si>
    <t>MacKenzie2006GCA 70; 5236</t>
  </si>
  <si>
    <t>645-1118</t>
  </si>
  <si>
    <t>1544-1790</t>
  </si>
  <si>
    <t>Harrison1984GCA 48; 1467</t>
  </si>
  <si>
    <t>Lu</t>
  </si>
  <si>
    <t>1063-1573</t>
  </si>
  <si>
    <t>Hayden2007EPSL 258; 561</t>
  </si>
  <si>
    <t>Lowry1982CMP 80; 254</t>
  </si>
  <si>
    <t>Cs</t>
  </si>
  <si>
    <t>Pressure effect is insignificant</t>
  </si>
  <si>
    <t>temperature span is small</t>
  </si>
  <si>
    <t>Ce</t>
  </si>
  <si>
    <t>0.0001-1.9</t>
  </si>
  <si>
    <t>1488-1673</t>
  </si>
  <si>
    <t>Medford1973CJES 10; 394</t>
  </si>
  <si>
    <t>610-1262</t>
  </si>
  <si>
    <t>Baker1988JNCS 102; 62</t>
  </si>
  <si>
    <t>Na-K</t>
  </si>
  <si>
    <t>623-1263</t>
  </si>
  <si>
    <t>570-1673</t>
  </si>
  <si>
    <t>Re</t>
  </si>
  <si>
    <t>Kubicki1990GCA 54; 2709</t>
  </si>
  <si>
    <t>Zn</t>
  </si>
  <si>
    <t>1473-1773</t>
  </si>
  <si>
    <t>2.5-15</t>
  </si>
  <si>
    <t>lnD=-12.79-27.87X-(13939+1230P-60559X)/T where T is in K, P is in GPa, X is mole fraction of H2Ot on a single oxygen basis</t>
  </si>
  <si>
    <t>773-1473</t>
  </si>
  <si>
    <t>0 to 1.5</t>
  </si>
  <si>
    <t>743-873</t>
  </si>
  <si>
    <t>0-2.5</t>
  </si>
  <si>
    <t>1673-1883</t>
  </si>
  <si>
    <t>0.5-2.0</t>
  </si>
  <si>
    <t>Mungall1999GCA 63; 2599</t>
  </si>
  <si>
    <t>Cl</t>
  </si>
  <si>
    <t>Zr</t>
  </si>
  <si>
    <t>1323-1528</t>
  </si>
  <si>
    <t>1373-1673</t>
  </si>
  <si>
    <t>1523-1723</t>
  </si>
  <si>
    <t>&lt;0.1</t>
  </si>
  <si>
    <t>1543-1753</t>
  </si>
  <si>
    <t>Eu</t>
  </si>
  <si>
    <t>Y</t>
  </si>
  <si>
    <t>All dry and wet albite-orthoclase melts</t>
  </si>
  <si>
    <t>Mn</t>
  </si>
  <si>
    <t>Zr</t>
  </si>
  <si>
    <t>3.6-3.7</t>
  </si>
  <si>
    <t>Hf</t>
  </si>
  <si>
    <t>1.6-1.9</t>
  </si>
  <si>
    <t>973-1173</t>
  </si>
  <si>
    <t>basic</t>
  </si>
  <si>
    <t>Bai1994GCA 58; 113</t>
  </si>
  <si>
    <t>Li</t>
  </si>
  <si>
    <t>Sr-86</t>
  </si>
  <si>
    <t>Er</t>
  </si>
  <si>
    <t>Sheng1992GCA 56; 2535</t>
  </si>
  <si>
    <t>Cs</t>
  </si>
  <si>
    <t>Mg</t>
  </si>
  <si>
    <t>W</t>
  </si>
  <si>
    <t>Be</t>
  </si>
  <si>
    <t>Ga</t>
  </si>
  <si>
    <t>Type of dif</t>
  </si>
  <si>
    <t>logfO2</t>
  </si>
  <si>
    <t>Si</t>
  </si>
  <si>
    <t>1473-1673</t>
  </si>
  <si>
    <t>S</t>
  </si>
  <si>
    <t>Lesher1994 JGR 99; 9585</t>
  </si>
  <si>
    <t>Pa</t>
  </si>
  <si>
    <t>MPa</t>
  </si>
  <si>
    <t>wt%</t>
  </si>
  <si>
    <t>m2/s</t>
  </si>
  <si>
    <t>Ba-133</t>
  </si>
  <si>
    <t>1473-1573</t>
  </si>
  <si>
    <t>Ca-45</t>
  </si>
  <si>
    <t>basalt</t>
  </si>
  <si>
    <t>andesite</t>
  </si>
  <si>
    <t>SiO2</t>
  </si>
  <si>
    <t>dacite</t>
  </si>
  <si>
    <t>1 to 2</t>
  </si>
  <si>
    <t>1.0-1.5</t>
  </si>
  <si>
    <t>1733-1935</t>
  </si>
  <si>
    <t>1673-1873</t>
  </si>
  <si>
    <t>1448-1673</t>
  </si>
  <si>
    <t>lnD = 12.06+14.75AI-42.22Si+2.716P*Si-[42021-45407Si+(7409Si-1593)P]/T  where T is in K, P is in GPa, Si is cation mole fraction, AI=Na+K-Al</t>
  </si>
  <si>
    <t>Sb</t>
  </si>
  <si>
    <t>4.5-5.2</t>
  </si>
  <si>
    <t>.03-.07</t>
  </si>
  <si>
    <t>H2Om</t>
  </si>
  <si>
    <t>786-1800</t>
  </si>
  <si>
    <t>0-8</t>
  </si>
  <si>
    <t>1323-1528</t>
  </si>
  <si>
    <t>1573-1873</t>
  </si>
  <si>
    <t>F</t>
  </si>
  <si>
    <t>Nd</t>
  </si>
  <si>
    <t>H2Ot</t>
  </si>
  <si>
    <t>Koepke2001GCA 65; 1481</t>
  </si>
  <si>
    <t>MgO</t>
  </si>
  <si>
    <t>PH2O</t>
  </si>
  <si>
    <t>Ca</t>
  </si>
  <si>
    <t>Total</t>
  </si>
  <si>
    <t>Nakamura1998GCA 62; 3151</t>
  </si>
  <si>
    <t>B</t>
  </si>
  <si>
    <t>Fe</t>
  </si>
  <si>
    <t>rhyolite</t>
  </si>
  <si>
    <t>1273-1773</t>
  </si>
  <si>
    <t>Chakraborty1993GCA 57; 1741</t>
  </si>
  <si>
    <t>Jambon1982JGR 87; 10797</t>
  </si>
  <si>
    <t>Al</t>
  </si>
  <si>
    <t>Lowry1982CMP 80; 254</t>
  </si>
  <si>
    <t>air</t>
  </si>
  <si>
    <t>Te</t>
  </si>
  <si>
    <t>Roselieb2002GCA 66; 109</t>
  </si>
  <si>
    <t>K2O</t>
  </si>
  <si>
    <t>1423-1523</t>
  </si>
  <si>
    <t>993-1123</t>
  </si>
  <si>
    <t>1573-1773</t>
  </si>
  <si>
    <t>La</t>
  </si>
  <si>
    <t>Pr</t>
  </si>
  <si>
    <t>Jambon1978EPSL 37; 445</t>
  </si>
  <si>
    <t>Lowry1981EPSL 53; 36</t>
  </si>
  <si>
    <t>1373-1673</t>
  </si>
  <si>
    <t>Ref#</t>
  </si>
  <si>
    <t>1273-1573</t>
  </si>
  <si>
    <t>Jambon1976GCA 40; 897</t>
  </si>
  <si>
    <t>Watson1981EPSL 52; 291</t>
  </si>
  <si>
    <t>Th</t>
  </si>
  <si>
    <t>U</t>
  </si>
  <si>
    <t>Roselieb1997GCA 61; 3101</t>
  </si>
  <si>
    <t>Tl</t>
  </si>
  <si>
    <t>Henderson1985CMP 89; 263</t>
  </si>
  <si>
    <t>LaTourrette1996GCA 60; 1329</t>
  </si>
  <si>
    <t>Baker1992GCA 56; 617</t>
  </si>
  <si>
    <t>Chen2008GCA 72; 4756</t>
  </si>
  <si>
    <t>TiO2</t>
  </si>
  <si>
    <t>Koepke2001GCA 65; 1481</t>
  </si>
  <si>
    <t>P2O5</t>
  </si>
  <si>
    <t>Freda1998GCA 62; 2997</t>
  </si>
  <si>
    <t>Watson1994RiMG 30; 371</t>
  </si>
  <si>
    <t>Ba</t>
  </si>
  <si>
    <t>Magaritz1978GCA 42; 847</t>
  </si>
  <si>
    <t>Cunningham1983EPSL 65; 203</t>
  </si>
  <si>
    <t>Lowry1982CMP 80; 254</t>
  </si>
  <si>
    <t>Koyaguchi1989CMP 103; 143</t>
  </si>
  <si>
    <t>P</t>
  </si>
  <si>
    <t>Baker1992GCA 56; 617</t>
  </si>
  <si>
    <t>Jambon1982JGR 87; 10797</t>
  </si>
  <si>
    <t>trachyte</t>
  </si>
  <si>
    <t>Zhang1989CMP 102; 492</t>
  </si>
  <si>
    <t>Br</t>
  </si>
  <si>
    <t>Cd</t>
  </si>
  <si>
    <t>Sn</t>
  </si>
  <si>
    <t>Li</t>
  </si>
  <si>
    <t>Ea/R</t>
  </si>
  <si>
    <t>K</t>
  </si>
  <si>
    <t>2s error</t>
  </si>
  <si>
    <t>Na</t>
  </si>
  <si>
    <t>≤0.1</t>
  </si>
  <si>
    <t>Harrison1983CMP 84; 66</t>
  </si>
  <si>
    <t>K</t>
  </si>
  <si>
    <t>dry and wet trachyte</t>
  </si>
  <si>
    <t>0 to 1.5</t>
  </si>
  <si>
    <t>0 to 5</t>
  </si>
  <si>
    <t>rhyolite to andesite</t>
  </si>
  <si>
    <t>H2Ot</t>
  </si>
  <si>
    <t>dry and wet Na-phonolite</t>
  </si>
  <si>
    <t>wet Na-phonolite</t>
  </si>
  <si>
    <t>673-1773</t>
  </si>
  <si>
    <t>wet K-phonolite</t>
  </si>
  <si>
    <t>Co</t>
  </si>
  <si>
    <t>1567-1671</t>
  </si>
  <si>
    <t>1572-1672</t>
  </si>
  <si>
    <t>Lowry1982CMP 80; 254</t>
  </si>
  <si>
    <t>1567-1675</t>
  </si>
  <si>
    <t>918-1293</t>
  </si>
  <si>
    <t>1427-1775</t>
  </si>
  <si>
    <t>Mungall1997GCA 61; 2237</t>
  </si>
  <si>
    <t>Rapp1986CMP 94; 304</t>
  </si>
  <si>
    <t>Ni2009GCA 73; 3642</t>
  </si>
  <si>
    <t>18O</t>
  </si>
  <si>
    <t>SEBD</t>
  </si>
  <si>
    <t>411-775</t>
  </si>
  <si>
    <t>1528-1738</t>
  </si>
  <si>
    <t>1448-1738</t>
  </si>
  <si>
    <t>0.47 to 1.42</t>
  </si>
  <si>
    <t>0.55 to 1.5</t>
  </si>
  <si>
    <t>1.05 to 2.15</t>
  </si>
  <si>
    <t>1.6-1.9</t>
  </si>
  <si>
    <t>674-1073</t>
  </si>
  <si>
    <t>673-1273</t>
  </si>
  <si>
    <t>875-1188</t>
  </si>
  <si>
    <t>H2Ot</t>
  </si>
  <si>
    <t>MacKenzie2008EPSL 269; 488</t>
  </si>
  <si>
    <t>0.5-1</t>
  </si>
  <si>
    <t>lnD=-6.57-2.148P-(40830-5223P)/T where T is in K and P is in GPa</t>
  </si>
  <si>
    <t>1410-1873</t>
  </si>
  <si>
    <t>1423-1473</t>
  </si>
  <si>
    <t>1.13-1.4</t>
  </si>
  <si>
    <t>1373-1527</t>
  </si>
  <si>
    <t>≤0.07</t>
  </si>
  <si>
    <t>Eu</t>
  </si>
  <si>
    <t>lnD=-13.99-(17367+1945P)/T+(855.2+271.2)w/T  where w is H2Ot in wt%, T is in K and P is in GPa</t>
  </si>
  <si>
    <t>1523-1623</t>
  </si>
  <si>
    <t>1472-1573</t>
  </si>
  <si>
    <t>1063-1873</t>
  </si>
  <si>
    <t>1573-1723</t>
  </si>
  <si>
    <t>wet rhyolite-trondhjemite</t>
  </si>
  <si>
    <t>Yb</t>
  </si>
  <si>
    <t>Cs</t>
  </si>
  <si>
    <t>lnD=-9.42-62.38X-(19064+1477P-108882X)/T where T is in K, P is in GPa, X is mole fraction of H2Ot on a single oxygen basis</t>
  </si>
  <si>
    <t>0.75-2</t>
  </si>
  <si>
    <t>1566-1676</t>
  </si>
  <si>
    <t>&lt;0.8</t>
  </si>
  <si>
    <t>1628-1935</t>
  </si>
  <si>
    <t>GPa</t>
  </si>
  <si>
    <t>1 to 4</t>
  </si>
  <si>
    <t>0 to 1</t>
  </si>
  <si>
    <t>0.47 to 1.9</t>
  </si>
  <si>
    <t>lnD=-7.45-(31697-2937sqrt(w))/T where T is in K, w iswt% of H2Ot</t>
  </si>
  <si>
    <t>Jambon1982JGR 87; 10797</t>
  </si>
  <si>
    <t>Dunn1990JGR 95; 15665</t>
  </si>
  <si>
    <t>all dry melts</t>
  </si>
  <si>
    <t>1268-1673</t>
  </si>
  <si>
    <t>0.0001-0.02</t>
  </si>
  <si>
    <t>1268-1676</t>
  </si>
  <si>
    <t>lnD = 1.15-15.44*X1-39.92*X2-23993/T where X1=Si+Ti+Al+P and X2=max(0,Na+K-Al) cation mole fractions</t>
  </si>
  <si>
    <t>0.5-1.4</t>
  </si>
  <si>
    <t>Si</t>
  </si>
  <si>
    <t>Koepke2001GCA 65; 1481</t>
  </si>
  <si>
    <t>≤0.07</t>
  </si>
  <si>
    <t>≤1.7</t>
  </si>
  <si>
    <t>lnD=-14.57-(24381-4615sqrt(w))/T where T is in K, w iswt% of H2Ot</t>
  </si>
  <si>
    <t>≤1.9</t>
  </si>
  <si>
    <t>Zhang2007RG 45; RG4004</t>
  </si>
  <si>
    <t>Tb</t>
  </si>
  <si>
    <t>CO2,total</t>
  </si>
  <si>
    <t>676-1900</t>
  </si>
  <si>
    <t>T range</t>
  </si>
  <si>
    <t>P range</t>
  </si>
  <si>
    <t>673-1263</t>
  </si>
  <si>
    <t>1323-1528</t>
  </si>
  <si>
    <t>Gd</t>
  </si>
  <si>
    <t>Sm</t>
  </si>
  <si>
    <t>1473-1723</t>
  </si>
  <si>
    <t>1523-1273</t>
  </si>
  <si>
    <t>1570-1676</t>
  </si>
  <si>
    <t>1410-1773</t>
  </si>
  <si>
    <t>1171-1673</t>
  </si>
  <si>
    <t>0.01-1</t>
  </si>
  <si>
    <t>1573-1723</t>
  </si>
  <si>
    <t>1593-1873</t>
  </si>
  <si>
    <t>SD&amp;SEBD</t>
  </si>
  <si>
    <t>0.5-2</t>
  </si>
  <si>
    <t>1683-1935</t>
  </si>
  <si>
    <t>0.03-0.07</t>
  </si>
  <si>
    <t>dry and wet phonolite</t>
  </si>
  <si>
    <t>0-1.7</t>
  </si>
  <si>
    <t>0-1.9</t>
  </si>
  <si>
    <t>lnD=-12.71-(22435-3430w)/T  where T is in K and w is wt% of H2Ot</t>
  </si>
  <si>
    <t>1323-1523</t>
  </si>
  <si>
    <t>0 to 1.9</t>
  </si>
  <si>
    <t>0.04-1.71</t>
  </si>
  <si>
    <t>1123-1673</t>
  </si>
  <si>
    <t>lnD = -3.913P-(54245-8523P)/T where T is in K and P is in GPa</t>
  </si>
  <si>
    <t>1171-1473</t>
  </si>
  <si>
    <t>dry and wet HPG8</t>
  </si>
  <si>
    <t>≤3.5</t>
  </si>
  <si>
    <t>≤ 5</t>
  </si>
  <si>
    <t>lnD=-8.98-(24708-1644w)/T  where T is in K and w is wt% of H2Ot</t>
  </si>
  <si>
    <t>dry jadeite</t>
  </si>
  <si>
    <t>dry and wet K-phonolite</t>
  </si>
  <si>
    <t>0-5</t>
  </si>
  <si>
    <t>1323-1527</t>
  </si>
  <si>
    <t>570-1182</t>
  </si>
  <si>
    <t>693-1218</t>
  </si>
  <si>
    <t>Rb</t>
  </si>
  <si>
    <t>1373-1673</t>
  </si>
  <si>
    <t>Freda2003GSSP 213; 53</t>
  </si>
  <si>
    <t>Nakamura1998GCA 62; 3151</t>
  </si>
  <si>
    <t>1570-1675</t>
  </si>
  <si>
    <t>1575-1674</t>
  </si>
  <si>
    <t>Hofmann1977JGR 82; 5432</t>
  </si>
  <si>
    <t>dry &amp; wet haploandesite</t>
  </si>
  <si>
    <t>low</t>
  </si>
  <si>
    <t>Shang2009GCA 73; 5435</t>
  </si>
  <si>
    <t>0 to 0.5</t>
  </si>
  <si>
    <t>basalt1 &amp; basalt3</t>
  </si>
  <si>
    <t>silica</t>
  </si>
  <si>
    <t>H2</t>
  </si>
  <si>
    <t>300-1273</t>
  </si>
  <si>
    <t>0 to 0.0001</t>
  </si>
  <si>
    <t>lnD=-4.57-(40807-1697P)/T where T is in K, P is in GPa and D is in m2/s</t>
  </si>
  <si>
    <t>1473-1873</t>
  </si>
  <si>
    <t>Freda2005GCA 69; 5061</t>
  </si>
  <si>
    <t>Freda2005GCA 69; 5061</t>
  </si>
  <si>
    <t>Fe-FeO</t>
  </si>
  <si>
    <t>1673-1773</t>
  </si>
  <si>
    <t>air and Fe-FeO</t>
  </si>
  <si>
    <t>1373-1528</t>
  </si>
  <si>
    <t>1.6-1.8</t>
  </si>
  <si>
    <t>All melts</t>
  </si>
  <si>
    <t>≤0.1</t>
  </si>
  <si>
    <t>1523-1673</t>
  </si>
  <si>
    <t>Sc</t>
  </si>
  <si>
    <t>Lowry1982CMP 80; 254</t>
  </si>
  <si>
    <t>Jambon1982JGR 87; 10797</t>
  </si>
  <si>
    <t>Koepke2001GCA 65; 1481</t>
  </si>
  <si>
    <t>Watson1994RiMG 30; 371</t>
  </si>
  <si>
    <t>Baker1992GCA 56; 617</t>
  </si>
  <si>
    <t>Tinker2003GCA 67; 133</t>
  </si>
  <si>
    <t>Lesher1996GCA 60; 405</t>
  </si>
  <si>
    <t>Poe1997Science; 276; 1245</t>
  </si>
  <si>
    <t>Winther1998AM 83; 1141</t>
  </si>
  <si>
    <t>1475-1672</t>
  </si>
  <si>
    <t>1173-1271</t>
  </si>
  <si>
    <t>1516-1716</t>
  </si>
  <si>
    <t>1576-1672</t>
  </si>
  <si>
    <t>1475-1568</t>
  </si>
  <si>
    <t>dacite1&amp;pantellerite1</t>
  </si>
  <si>
    <t>Shimizu1984GCA 48; 1295</t>
  </si>
  <si>
    <t>basalt to pantellerite</t>
  </si>
  <si>
    <t>1473-1672</t>
  </si>
  <si>
    <t>lnD = -15.72*X1-43.6*X2-21924/T where X1=Si+Ti+Al+P and X2=max(0,Na+K-Al) cation mole fractions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</si>
</sst>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0000"/>
    <numFmt numFmtId="185" formatCode="0.000E+00"/>
    <numFmt numFmtId="186" formatCode="0.0"/>
    <numFmt numFmtId="187" formatCode="00000"/>
    <numFmt numFmtId="188" formatCode="0.000"/>
    <numFmt numFmtId="189" formatCode="0000"/>
    <numFmt numFmtId="190" formatCode="00"/>
    <numFmt numFmtId="191" formatCode="0.000000000000000000"/>
    <numFmt numFmtId="192" formatCode="[$-409]h:mm:ss\ AM/PM"/>
    <numFmt numFmtId="193" formatCode="0.0E+00"/>
    <numFmt numFmtId="194" formatCode="0E+00"/>
    <numFmt numFmtId="195" formatCode="0.0000"/>
    <numFmt numFmtId="196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6"/>
      <name val="Osaka"/>
      <family val="3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8"/>
      <name val="Verdana"/>
      <family val="0"/>
    </font>
    <font>
      <sz val="11"/>
      <name val="Calibri"/>
      <family val="2"/>
    </font>
    <font>
      <sz val="10"/>
      <color indexed="8"/>
      <name val="Verdana"/>
      <family val="2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22" applyNumberFormat="1" applyFill="1" applyAlignment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 applyAlignment="1">
      <alignment/>
      <protection/>
    </xf>
    <xf numFmtId="0" fontId="11" fillId="0" borderId="0" xfId="21" applyNumberFormat="1" applyFont="1" applyFill="1" applyAlignment="1">
      <alignment/>
      <protection/>
    </xf>
    <xf numFmtId="0" fontId="11" fillId="0" borderId="0" xfId="21" applyFont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 10" xfId="21"/>
    <cellStyle name="Normal 2 13" xfId="22"/>
    <cellStyle name="Normal_Parameter a (dacite)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72"/>
  <sheetViews>
    <sheetView tabSelected="1" workbookViewId="0" topLeftCell="A1">
      <pane xSplit="22840" ySplit="3440" topLeftCell="Y442" activePane="topRight" state="split"/>
      <selection pane="topLeft" activeCell="A5" sqref="A5:A472"/>
      <selection pane="topRight" activeCell="AB1" sqref="AB1:AB65536"/>
      <selection pane="bottomLeft" activeCell="K467" sqref="K467"/>
      <selection pane="bottomRight" activeCell="Z172" sqref="Z172"/>
    </sheetView>
  </sheetViews>
  <sheetFormatPr defaultColWidth="11.00390625" defaultRowHeight="12.75"/>
  <cols>
    <col min="1" max="1" width="6.75390625" style="4" customWidth="1"/>
    <col min="2" max="2" width="18.25390625" style="4" customWidth="1"/>
    <col min="3" max="3" width="7.125" style="4" customWidth="1"/>
    <col min="4" max="4" width="11.125" style="4" customWidth="1"/>
    <col min="5" max="5" width="9.375" style="4" customWidth="1"/>
    <col min="6" max="6" width="9.75390625" style="4" customWidth="1"/>
    <col min="7" max="7" width="6.00390625" style="4" customWidth="1"/>
    <col min="8" max="8" width="5.25390625" style="4" customWidth="1"/>
    <col min="9" max="9" width="6.00390625" style="10" customWidth="1"/>
    <col min="10" max="10" width="6.625" style="4" customWidth="1"/>
    <col min="11" max="11" width="10.125" style="4" customWidth="1"/>
    <col min="12" max="12" width="5.75390625" style="4" customWidth="1"/>
    <col min="13" max="13" width="8.875" style="4" customWidth="1"/>
    <col min="14" max="14" width="6.375" style="4" customWidth="1"/>
    <col min="15" max="15" width="6.125" style="4" customWidth="1"/>
    <col min="16" max="16" width="4.625" style="4" customWidth="1"/>
    <col min="17" max="17" width="5.875" style="4" customWidth="1"/>
    <col min="18" max="18" width="4.875" style="4" customWidth="1"/>
    <col min="19" max="21" width="4.625" style="4" customWidth="1"/>
    <col min="22" max="22" width="5.25390625" style="4" customWidth="1"/>
    <col min="23" max="23" width="4.125" style="4" customWidth="1"/>
    <col min="24" max="24" width="5.00390625" style="4" customWidth="1"/>
    <col min="25" max="25" width="6.75390625" style="4" customWidth="1"/>
    <col min="26" max="26" width="23.75390625" style="14" customWidth="1"/>
  </cols>
  <sheetData>
    <row r="1" spans="1:26" ht="15.75">
      <c r="A1" s="7" t="s">
        <v>147</v>
      </c>
      <c r="Z1" s="6"/>
    </row>
    <row r="2" spans="1:26" ht="12.75">
      <c r="A2" s="8"/>
      <c r="J2" s="4" t="s">
        <v>352</v>
      </c>
      <c r="O2" s="4" t="s">
        <v>152</v>
      </c>
      <c r="Z2" s="6"/>
    </row>
    <row r="3" spans="1:27" ht="12.75">
      <c r="A3" s="8" t="s">
        <v>344</v>
      </c>
      <c r="B3" s="8" t="s">
        <v>345</v>
      </c>
      <c r="C3" s="8" t="s">
        <v>149</v>
      </c>
      <c r="D3" s="8" t="s">
        <v>463</v>
      </c>
      <c r="E3" s="8" t="s">
        <v>638</v>
      </c>
      <c r="F3" s="8" t="s">
        <v>639</v>
      </c>
      <c r="G3" s="8" t="s">
        <v>464</v>
      </c>
      <c r="H3" s="8" t="s">
        <v>499</v>
      </c>
      <c r="I3" s="11" t="s">
        <v>496</v>
      </c>
      <c r="J3" s="8" t="s">
        <v>346</v>
      </c>
      <c r="K3" s="8" t="s">
        <v>148</v>
      </c>
      <c r="L3" s="8" t="s">
        <v>556</v>
      </c>
      <c r="M3" s="8" t="s">
        <v>554</v>
      </c>
      <c r="N3" s="8" t="s">
        <v>556</v>
      </c>
      <c r="O3" s="8" t="s">
        <v>478</v>
      </c>
      <c r="P3" s="8" t="s">
        <v>535</v>
      </c>
      <c r="Q3" s="8" t="s">
        <v>349</v>
      </c>
      <c r="R3" s="8" t="s">
        <v>350</v>
      </c>
      <c r="S3" s="8" t="s">
        <v>340</v>
      </c>
      <c r="T3" s="8" t="s">
        <v>498</v>
      </c>
      <c r="U3" s="8" t="s">
        <v>347</v>
      </c>
      <c r="V3" s="8" t="s">
        <v>348</v>
      </c>
      <c r="W3" s="8" t="s">
        <v>514</v>
      </c>
      <c r="X3" s="8" t="s">
        <v>537</v>
      </c>
      <c r="Y3" s="8" t="s">
        <v>501</v>
      </c>
      <c r="Z3" s="12" t="s">
        <v>523</v>
      </c>
      <c r="AA3" s="12" t="s">
        <v>62</v>
      </c>
    </row>
    <row r="4" spans="1:26" ht="12.75">
      <c r="A4" s="8"/>
      <c r="B4" s="8"/>
      <c r="C4" s="8"/>
      <c r="D4" s="8"/>
      <c r="E4" s="8" t="s">
        <v>560</v>
      </c>
      <c r="F4" s="8" t="s">
        <v>615</v>
      </c>
      <c r="G4" s="8" t="s">
        <v>469</v>
      </c>
      <c r="H4" s="8" t="s">
        <v>470</v>
      </c>
      <c r="I4" s="11" t="s">
        <v>471</v>
      </c>
      <c r="J4" s="8" t="s">
        <v>471</v>
      </c>
      <c r="K4" s="8" t="s">
        <v>472</v>
      </c>
      <c r="L4" s="8"/>
      <c r="M4" s="8" t="s">
        <v>555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2"/>
    </row>
    <row r="5" spans="1:26" ht="12.75">
      <c r="A5" s="6">
        <v>1</v>
      </c>
      <c r="B5" s="6" t="s">
        <v>688</v>
      </c>
      <c r="C5" s="6" t="s">
        <v>689</v>
      </c>
      <c r="D5" s="6" t="s">
        <v>150</v>
      </c>
      <c r="E5" s="6" t="s">
        <v>690</v>
      </c>
      <c r="F5" s="6" t="s">
        <v>691</v>
      </c>
      <c r="G5" s="6" t="s">
        <v>684</v>
      </c>
      <c r="H5" s="6"/>
      <c r="I5" s="13"/>
      <c r="J5" s="6"/>
      <c r="K5" s="13">
        <v>-16.47</v>
      </c>
      <c r="L5" s="6">
        <v>0.07</v>
      </c>
      <c r="M5" s="6">
        <v>5363</v>
      </c>
      <c r="N5" s="6">
        <v>33</v>
      </c>
      <c r="O5" s="6">
        <v>100</v>
      </c>
      <c r="P5" s="6"/>
      <c r="Q5" s="6"/>
      <c r="R5" s="6"/>
      <c r="S5" s="6"/>
      <c r="T5" s="6"/>
      <c r="U5" s="6"/>
      <c r="V5" s="6"/>
      <c r="W5" s="6"/>
      <c r="X5" s="6"/>
      <c r="Y5" s="6"/>
      <c r="Z5" s="6" t="s">
        <v>685</v>
      </c>
    </row>
    <row r="6" spans="1:27" s="2" customFormat="1" ht="12.75">
      <c r="A6">
        <v>2</v>
      </c>
      <c r="B6" s="6" t="s">
        <v>505</v>
      </c>
      <c r="C6" s="6" t="s">
        <v>489</v>
      </c>
      <c r="D6" s="4" t="s">
        <v>130</v>
      </c>
      <c r="E6" s="6" t="s">
        <v>369</v>
      </c>
      <c r="F6" s="6" t="s">
        <v>370</v>
      </c>
      <c r="G6" s="6"/>
      <c r="H6" s="6"/>
      <c r="I6" s="13" t="s">
        <v>491</v>
      </c>
      <c r="J6" s="13" t="s">
        <v>491</v>
      </c>
      <c r="K6" s="11" t="s">
        <v>308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 t="s">
        <v>579</v>
      </c>
      <c r="AA6"/>
    </row>
    <row r="7" spans="1:27" s="2" customFormat="1" ht="12.75">
      <c r="A7">
        <v>3</v>
      </c>
      <c r="B7" s="6" t="s">
        <v>505</v>
      </c>
      <c r="C7" s="6" t="s">
        <v>592</v>
      </c>
      <c r="D7" s="4" t="s">
        <v>130</v>
      </c>
      <c r="E7" s="6" t="s">
        <v>369</v>
      </c>
      <c r="F7" s="6" t="s">
        <v>370</v>
      </c>
      <c r="G7" s="6"/>
      <c r="H7" s="6"/>
      <c r="I7" s="13" t="s">
        <v>298</v>
      </c>
      <c r="J7" s="13"/>
      <c r="K7" s="11" t="s">
        <v>269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 t="s">
        <v>579</v>
      </c>
      <c r="AA7"/>
    </row>
    <row r="8" spans="1:27" s="2" customFormat="1" ht="12.75">
      <c r="A8">
        <v>4</v>
      </c>
      <c r="B8" s="6" t="s">
        <v>380</v>
      </c>
      <c r="C8" s="6" t="s">
        <v>489</v>
      </c>
      <c r="D8" s="4" t="s">
        <v>130</v>
      </c>
      <c r="E8" s="6" t="s">
        <v>316</v>
      </c>
      <c r="F8" s="6" t="s">
        <v>317</v>
      </c>
      <c r="G8" s="6"/>
      <c r="H8" s="6"/>
      <c r="I8" s="13" t="s">
        <v>318</v>
      </c>
      <c r="J8" s="13" t="s">
        <v>318</v>
      </c>
      <c r="K8" s="11" t="s">
        <v>428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579</v>
      </c>
      <c r="AA8"/>
    </row>
    <row r="9" spans="1:27" s="2" customFormat="1" ht="12.75">
      <c r="A9">
        <v>5</v>
      </c>
      <c r="B9" s="6" t="s">
        <v>380</v>
      </c>
      <c r="C9" s="6" t="s">
        <v>592</v>
      </c>
      <c r="D9" s="4" t="s">
        <v>130</v>
      </c>
      <c r="E9" s="6" t="s">
        <v>316</v>
      </c>
      <c r="F9" s="6" t="s">
        <v>317</v>
      </c>
      <c r="G9" s="6"/>
      <c r="H9" s="6"/>
      <c r="I9" s="13" t="s">
        <v>298</v>
      </c>
      <c r="J9" s="13"/>
      <c r="K9" s="11" t="s">
        <v>283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579</v>
      </c>
      <c r="AA9"/>
    </row>
    <row r="10" spans="1:27" s="2" customFormat="1" ht="12.75">
      <c r="A10">
        <v>6</v>
      </c>
      <c r="B10" s="6" t="s">
        <v>479</v>
      </c>
      <c r="C10" s="6" t="s">
        <v>489</v>
      </c>
      <c r="D10" s="4" t="s">
        <v>130</v>
      </c>
      <c r="E10" s="6" t="s">
        <v>490</v>
      </c>
      <c r="F10" s="6" t="s">
        <v>617</v>
      </c>
      <c r="G10" s="6"/>
      <c r="H10" s="6"/>
      <c r="I10" s="13" t="s">
        <v>491</v>
      </c>
      <c r="J10" s="13" t="s">
        <v>491</v>
      </c>
      <c r="K10" s="11" t="s">
        <v>610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 t="s">
        <v>579</v>
      </c>
      <c r="AA10"/>
    </row>
    <row r="11" spans="1:27" s="2" customFormat="1" ht="12.75">
      <c r="A11">
        <v>7</v>
      </c>
      <c r="B11" s="6" t="s">
        <v>479</v>
      </c>
      <c r="C11" s="6" t="s">
        <v>592</v>
      </c>
      <c r="D11" s="4" t="s">
        <v>130</v>
      </c>
      <c r="E11" s="6" t="s">
        <v>490</v>
      </c>
      <c r="F11" s="6" t="s">
        <v>617</v>
      </c>
      <c r="G11" s="6"/>
      <c r="H11" s="6"/>
      <c r="I11" s="13" t="s">
        <v>298</v>
      </c>
      <c r="J11" s="13"/>
      <c r="K11" s="11" t="s">
        <v>286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 t="s">
        <v>579</v>
      </c>
      <c r="AA11"/>
    </row>
    <row r="12" spans="1:27" s="2" customFormat="1" ht="12.75">
      <c r="A12">
        <v>8</v>
      </c>
      <c r="B12" s="6" t="s">
        <v>477</v>
      </c>
      <c r="C12" s="6" t="s">
        <v>489</v>
      </c>
      <c r="D12" s="4" t="s">
        <v>130</v>
      </c>
      <c r="E12" s="6" t="s">
        <v>431</v>
      </c>
      <c r="F12" s="6">
        <v>0.1</v>
      </c>
      <c r="G12" s="6"/>
      <c r="H12" s="6"/>
      <c r="I12" s="13" t="s">
        <v>432</v>
      </c>
      <c r="J12" s="13" t="s">
        <v>432</v>
      </c>
      <c r="K12" s="11" t="s">
        <v>372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 t="s">
        <v>579</v>
      </c>
      <c r="AA12"/>
    </row>
    <row r="13" spans="1:27" s="2" customFormat="1" ht="12.75">
      <c r="A13">
        <v>9</v>
      </c>
      <c r="B13" s="6" t="s">
        <v>477</v>
      </c>
      <c r="C13" s="6" t="s">
        <v>592</v>
      </c>
      <c r="D13" s="4" t="s">
        <v>130</v>
      </c>
      <c r="E13" s="6" t="s">
        <v>429</v>
      </c>
      <c r="F13" s="6" t="s">
        <v>430</v>
      </c>
      <c r="G13" s="6"/>
      <c r="H13" s="6"/>
      <c r="I13" s="13" t="s">
        <v>298</v>
      </c>
      <c r="J13" s="13"/>
      <c r="K13" s="11" t="s">
        <v>385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 t="s">
        <v>579</v>
      </c>
      <c r="AA13"/>
    </row>
    <row r="14" spans="1:27" s="2" customFormat="1" ht="12.75">
      <c r="A14">
        <v>10</v>
      </c>
      <c r="B14" s="6" t="s">
        <v>476</v>
      </c>
      <c r="C14" s="6" t="s">
        <v>592</v>
      </c>
      <c r="D14" s="4" t="s">
        <v>130</v>
      </c>
      <c r="E14" s="6" t="s">
        <v>373</v>
      </c>
      <c r="F14" s="6" t="s">
        <v>686</v>
      </c>
      <c r="G14" s="6"/>
      <c r="H14" s="6"/>
      <c r="I14" s="13" t="s">
        <v>298</v>
      </c>
      <c r="J14" s="6"/>
      <c r="K14" s="11" t="s">
        <v>386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 t="s">
        <v>634</v>
      </c>
      <c r="AA14"/>
    </row>
    <row r="15" spans="1:27" s="2" customFormat="1" ht="12.75">
      <c r="A15">
        <v>11</v>
      </c>
      <c r="B15" s="6" t="s">
        <v>476</v>
      </c>
      <c r="C15" s="6" t="s">
        <v>592</v>
      </c>
      <c r="D15" s="4" t="s">
        <v>130</v>
      </c>
      <c r="E15" s="6" t="s">
        <v>373</v>
      </c>
      <c r="F15" s="6" t="s">
        <v>617</v>
      </c>
      <c r="G15" s="6"/>
      <c r="H15" s="6"/>
      <c r="I15" s="13">
        <v>1</v>
      </c>
      <c r="J15" s="6"/>
      <c r="K15" s="6">
        <v>-8.56</v>
      </c>
      <c r="L15" s="6">
        <v>0.8</v>
      </c>
      <c r="M15" s="6">
        <v>19110</v>
      </c>
      <c r="N15" s="6">
        <v>708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 t="s">
        <v>634</v>
      </c>
      <c r="AA15"/>
    </row>
    <row r="16" spans="1:27" s="2" customFormat="1" ht="12.75">
      <c r="A16">
        <v>12</v>
      </c>
      <c r="B16" s="6" t="s">
        <v>548</v>
      </c>
      <c r="C16" s="6" t="s">
        <v>592</v>
      </c>
      <c r="D16" s="4" t="s">
        <v>130</v>
      </c>
      <c r="E16" s="6" t="s">
        <v>522</v>
      </c>
      <c r="F16" s="6">
        <v>1</v>
      </c>
      <c r="G16" s="6"/>
      <c r="H16" s="6"/>
      <c r="I16" s="13">
        <v>1</v>
      </c>
      <c r="J16" s="6"/>
      <c r="K16" s="11" t="s">
        <v>181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 t="s">
        <v>678</v>
      </c>
      <c r="AA16"/>
    </row>
    <row r="17" spans="1:27" s="2" customFormat="1" ht="12.75">
      <c r="A17">
        <v>13</v>
      </c>
      <c r="B17" s="6" t="s">
        <v>564</v>
      </c>
      <c r="C17" s="6" t="s">
        <v>565</v>
      </c>
      <c r="D17" s="4" t="s">
        <v>130</v>
      </c>
      <c r="E17" s="6" t="s">
        <v>637</v>
      </c>
      <c r="F17" s="6" t="s">
        <v>661</v>
      </c>
      <c r="G17" s="6"/>
      <c r="H17" s="6"/>
      <c r="I17" s="13">
        <v>1</v>
      </c>
      <c r="J17" s="6"/>
      <c r="K17" s="11" t="s">
        <v>485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 t="s">
        <v>97</v>
      </c>
      <c r="AA17"/>
    </row>
    <row r="18" spans="1:27" s="2" customFormat="1" ht="12.75">
      <c r="A18">
        <v>14</v>
      </c>
      <c r="B18" s="6"/>
      <c r="C18" s="6"/>
      <c r="D18" s="6"/>
      <c r="E18" s="6"/>
      <c r="F18" s="6"/>
      <c r="G18" s="6"/>
      <c r="H18" s="6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/>
    </row>
    <row r="19" spans="1:27" ht="12.75">
      <c r="A19">
        <v>15</v>
      </c>
      <c r="B19" s="4" t="s">
        <v>153</v>
      </c>
      <c r="C19" s="4" t="s">
        <v>553</v>
      </c>
      <c r="D19" s="4" t="s">
        <v>130</v>
      </c>
      <c r="E19" s="15" t="s">
        <v>266</v>
      </c>
      <c r="F19" s="4">
        <v>0.0001</v>
      </c>
      <c r="K19" s="4">
        <v>-11.76</v>
      </c>
      <c r="L19" s="4">
        <v>1.57</v>
      </c>
      <c r="M19" s="4">
        <v>13967</v>
      </c>
      <c r="N19" s="4">
        <v>2539</v>
      </c>
      <c r="O19" s="4">
        <v>45.89</v>
      </c>
      <c r="P19" s="4">
        <v>3.72</v>
      </c>
      <c r="Q19" s="4">
        <v>16.55</v>
      </c>
      <c r="R19" s="10">
        <f>1.91+10.67*0.9</f>
        <v>11.513</v>
      </c>
      <c r="S19" s="4">
        <v>0.18</v>
      </c>
      <c r="T19" s="4">
        <v>6.3</v>
      </c>
      <c r="U19" s="4">
        <v>9.62</v>
      </c>
      <c r="V19" s="4">
        <v>3.79</v>
      </c>
      <c r="W19" s="10">
        <v>1.73</v>
      </c>
      <c r="X19" s="4">
        <v>0.52</v>
      </c>
      <c r="Y19" s="9">
        <f>SUM(O19:X19)</f>
        <v>99.81300000000002</v>
      </c>
      <c r="Z19" s="13" t="s">
        <v>521</v>
      </c>
      <c r="AA19" s="4" t="s">
        <v>413</v>
      </c>
    </row>
    <row r="20" spans="1:27" ht="12.75">
      <c r="A20">
        <v>16</v>
      </c>
      <c r="B20" s="4" t="s">
        <v>167</v>
      </c>
      <c r="C20" s="4" t="s">
        <v>553</v>
      </c>
      <c r="D20" s="4" t="s">
        <v>130</v>
      </c>
      <c r="E20" s="6" t="s">
        <v>232</v>
      </c>
      <c r="F20" s="4">
        <v>0.0001</v>
      </c>
      <c r="K20" s="4">
        <v>-13.56</v>
      </c>
      <c r="L20" s="4">
        <v>3.63</v>
      </c>
      <c r="M20" s="4">
        <v>10755</v>
      </c>
      <c r="N20" s="4">
        <v>3882</v>
      </c>
      <c r="O20" s="4">
        <v>57.8</v>
      </c>
      <c r="P20" s="4">
        <v>0.85</v>
      </c>
      <c r="Q20" s="4">
        <v>19.14</v>
      </c>
      <c r="R20" s="10">
        <f>2.42+4.29*0.9</f>
        <v>6.281000000000001</v>
      </c>
      <c r="S20" s="4">
        <v>0.11</v>
      </c>
      <c r="T20" s="4">
        <v>3.45</v>
      </c>
      <c r="U20" s="4">
        <v>6.27</v>
      </c>
      <c r="V20" s="4">
        <v>4.31</v>
      </c>
      <c r="W20" s="10">
        <v>1.79</v>
      </c>
      <c r="X20" s="4">
        <v>0.2</v>
      </c>
      <c r="Y20" s="9">
        <f>SUM(O20:X20)</f>
        <v>100.20100000000001</v>
      </c>
      <c r="Z20" s="13" t="s">
        <v>542</v>
      </c>
      <c r="AA20" s="4" t="s">
        <v>413</v>
      </c>
    </row>
    <row r="21" spans="1:26" ht="12.75">
      <c r="A21">
        <v>17</v>
      </c>
      <c r="B21" s="4" t="s">
        <v>102</v>
      </c>
      <c r="C21" s="4" t="s">
        <v>454</v>
      </c>
      <c r="D21" s="4" t="s">
        <v>130</v>
      </c>
      <c r="E21" s="4" t="s">
        <v>367</v>
      </c>
      <c r="F21" s="4">
        <v>0.0001</v>
      </c>
      <c r="K21" s="4">
        <v>-15.31</v>
      </c>
      <c r="L21" s="4">
        <v>2.6</v>
      </c>
      <c r="M21" s="4">
        <v>8569</v>
      </c>
      <c r="N21" s="4">
        <v>2269</v>
      </c>
      <c r="O21" s="4">
        <v>65.17</v>
      </c>
      <c r="Q21" s="4">
        <v>18.2</v>
      </c>
      <c r="R21" s="10"/>
      <c r="V21" s="4">
        <v>5.02</v>
      </c>
      <c r="W21" s="10">
        <v>11.81</v>
      </c>
      <c r="Y21" s="4">
        <f>SUM(O21:X21)</f>
        <v>100.2</v>
      </c>
      <c r="Z21" s="6" t="s">
        <v>520</v>
      </c>
    </row>
    <row r="22" spans="1:26" ht="12.75">
      <c r="A22">
        <v>18</v>
      </c>
      <c r="B22" s="6" t="s">
        <v>109</v>
      </c>
      <c r="C22" s="4" t="s">
        <v>454</v>
      </c>
      <c r="D22" s="4" t="s">
        <v>130</v>
      </c>
      <c r="E22" s="6" t="s">
        <v>294</v>
      </c>
      <c r="F22" s="4">
        <v>0.0001</v>
      </c>
      <c r="K22" s="4">
        <v>-11.05</v>
      </c>
      <c r="L22" s="4">
        <v>2.45</v>
      </c>
      <c r="M22" s="4">
        <v>11374</v>
      </c>
      <c r="N22" s="4">
        <v>2259</v>
      </c>
      <c r="O22" s="4">
        <v>68.4</v>
      </c>
      <c r="Q22" s="4">
        <v>19.5</v>
      </c>
      <c r="R22" s="10"/>
      <c r="V22" s="4">
        <v>11.9</v>
      </c>
      <c r="W22" s="10"/>
      <c r="Y22" s="4">
        <f>SUM(O22:X22)</f>
        <v>99.80000000000001</v>
      </c>
      <c r="Z22" s="6" t="s">
        <v>132</v>
      </c>
    </row>
    <row r="23" spans="1:27" ht="12.75">
      <c r="A23">
        <v>19</v>
      </c>
      <c r="B23" s="4" t="s">
        <v>113</v>
      </c>
      <c r="C23" s="4" t="s">
        <v>553</v>
      </c>
      <c r="D23" s="4" t="s">
        <v>130</v>
      </c>
      <c r="E23" s="6" t="s">
        <v>231</v>
      </c>
      <c r="F23" s="4">
        <v>0.0001</v>
      </c>
      <c r="K23" s="4">
        <v>-14.01</v>
      </c>
      <c r="L23" s="4">
        <v>2.71</v>
      </c>
      <c r="M23" s="4">
        <v>9684</v>
      </c>
      <c r="N23" s="4">
        <v>4393</v>
      </c>
      <c r="O23" s="4">
        <v>69</v>
      </c>
      <c r="P23" s="4">
        <v>1.02</v>
      </c>
      <c r="Q23" s="4">
        <v>13.11</v>
      </c>
      <c r="R23" s="10">
        <f>1.46+3.84*0.9</f>
        <v>4.916</v>
      </c>
      <c r="S23" s="4">
        <v>0.13</v>
      </c>
      <c r="T23" s="4">
        <v>1</v>
      </c>
      <c r="U23" s="4">
        <v>2.7</v>
      </c>
      <c r="V23" s="4">
        <v>4.21</v>
      </c>
      <c r="W23" s="10">
        <v>2.72</v>
      </c>
      <c r="X23" s="4">
        <v>0.24</v>
      </c>
      <c r="Y23" s="9">
        <f>SUM(O23:X23)</f>
        <v>99.04599999999998</v>
      </c>
      <c r="Z23" s="13" t="s">
        <v>542</v>
      </c>
      <c r="AA23" s="4" t="s">
        <v>413</v>
      </c>
    </row>
    <row r="24" spans="1:26" ht="12.75">
      <c r="A24">
        <v>20</v>
      </c>
      <c r="B24" s="4" t="s">
        <v>120</v>
      </c>
      <c r="C24" s="4" t="s">
        <v>553</v>
      </c>
      <c r="D24" s="4" t="s">
        <v>130</v>
      </c>
      <c r="E24" s="4" t="s">
        <v>674</v>
      </c>
      <c r="F24" s="4">
        <v>0.0001</v>
      </c>
      <c r="J24" s="10"/>
      <c r="K24" s="4">
        <v>-13.04</v>
      </c>
      <c r="L24" s="4">
        <v>1.06</v>
      </c>
      <c r="M24" s="4">
        <v>10966</v>
      </c>
      <c r="N24" s="4">
        <v>855</v>
      </c>
      <c r="O24" s="4">
        <v>73.01</v>
      </c>
      <c r="P24" s="4">
        <v>0.2</v>
      </c>
      <c r="Q24" s="4">
        <v>12.57</v>
      </c>
      <c r="R24" s="9">
        <v>2.71</v>
      </c>
      <c r="S24" s="4">
        <v>0.05</v>
      </c>
      <c r="T24" s="4">
        <v>0.54</v>
      </c>
      <c r="U24" s="4">
        <v>0.41</v>
      </c>
      <c r="V24" s="4">
        <v>5.05</v>
      </c>
      <c r="W24" s="4">
        <v>4.6</v>
      </c>
      <c r="Y24" s="9">
        <f>SUM(O24:X24)</f>
        <v>99.13999999999999</v>
      </c>
      <c r="Z24" s="6" t="s">
        <v>508</v>
      </c>
    </row>
    <row r="25" spans="1:26" ht="12.75">
      <c r="A25">
        <v>21</v>
      </c>
      <c r="B25" s="4" t="s">
        <v>168</v>
      </c>
      <c r="C25" s="4" t="s">
        <v>454</v>
      </c>
      <c r="D25" s="4" t="s">
        <v>130</v>
      </c>
      <c r="E25" s="4" t="s">
        <v>187</v>
      </c>
      <c r="F25" s="4">
        <v>0.0001</v>
      </c>
      <c r="J25" s="10"/>
      <c r="K25" s="4">
        <v>-13.48</v>
      </c>
      <c r="L25" s="4">
        <f>2*0.318</f>
        <v>0.636</v>
      </c>
      <c r="M25" s="4">
        <v>9459</v>
      </c>
      <c r="N25" s="4">
        <f>2*296</f>
        <v>592</v>
      </c>
      <c r="O25" s="10">
        <v>59.86</v>
      </c>
      <c r="P25" s="10"/>
      <c r="Q25" s="10">
        <v>25.52</v>
      </c>
      <c r="R25" s="10">
        <v>0.023</v>
      </c>
      <c r="S25" s="10">
        <v>0.021</v>
      </c>
      <c r="T25" s="10">
        <v>0.004</v>
      </c>
      <c r="U25" s="10">
        <v>0.018</v>
      </c>
      <c r="V25" s="10">
        <v>14.58</v>
      </c>
      <c r="W25" s="10">
        <v>0.022</v>
      </c>
      <c r="X25" s="10"/>
      <c r="Y25" s="10">
        <f>SUM(O25:X25)</f>
        <v>100.048</v>
      </c>
      <c r="Z25" s="13" t="s">
        <v>203</v>
      </c>
    </row>
    <row r="26" spans="1:26" ht="12.75">
      <c r="A26">
        <v>22</v>
      </c>
      <c r="B26" s="8" t="s">
        <v>235</v>
      </c>
      <c r="C26" s="8" t="s">
        <v>454</v>
      </c>
      <c r="D26" s="4" t="s">
        <v>130</v>
      </c>
      <c r="E26" s="8" t="s">
        <v>422</v>
      </c>
      <c r="F26" s="8">
        <v>0.0001</v>
      </c>
      <c r="G26" s="8"/>
      <c r="H26" s="8"/>
      <c r="I26" s="11"/>
      <c r="J26" s="8"/>
      <c r="K26" s="8" t="s">
        <v>188</v>
      </c>
      <c r="R26" s="10"/>
      <c r="W26" s="10"/>
      <c r="Z26" s="6" t="s">
        <v>151</v>
      </c>
    </row>
    <row r="27" spans="1:26" ht="12.75">
      <c r="A27">
        <v>23</v>
      </c>
      <c r="B27" s="8"/>
      <c r="C27" s="8"/>
      <c r="D27" s="8"/>
      <c r="E27" s="8"/>
      <c r="F27" s="8"/>
      <c r="G27" s="8"/>
      <c r="H27" s="8"/>
      <c r="I27" s="11"/>
      <c r="J27" s="8"/>
      <c r="K27" s="8"/>
      <c r="R27" s="10"/>
      <c r="W27" s="10"/>
      <c r="Z27" s="6"/>
    </row>
    <row r="28" spans="1:26" ht="12.75">
      <c r="A28">
        <v>24</v>
      </c>
      <c r="B28" s="4" t="s">
        <v>368</v>
      </c>
      <c r="C28" s="4" t="s">
        <v>228</v>
      </c>
      <c r="D28" s="4" t="s">
        <v>83</v>
      </c>
      <c r="E28" s="4" t="s">
        <v>378</v>
      </c>
      <c r="F28" s="4">
        <v>0.0001</v>
      </c>
      <c r="K28" s="4">
        <v>-9.42</v>
      </c>
      <c r="L28" s="4">
        <v>5.25</v>
      </c>
      <c r="M28" s="4">
        <v>24578</v>
      </c>
      <c r="N28" s="4">
        <v>5531</v>
      </c>
      <c r="O28" s="4">
        <v>45.1</v>
      </c>
      <c r="Q28" s="4">
        <v>34.6</v>
      </c>
      <c r="R28" s="10"/>
      <c r="U28" s="4">
        <v>17.7</v>
      </c>
      <c r="V28" s="4">
        <v>1.14</v>
      </c>
      <c r="W28" s="10">
        <v>0.02</v>
      </c>
      <c r="Y28" s="4">
        <v>98.56</v>
      </c>
      <c r="Z28" s="6" t="s">
        <v>400</v>
      </c>
    </row>
    <row r="29" spans="1:26" ht="12.75">
      <c r="A29">
        <v>25</v>
      </c>
      <c r="B29" s="4" t="s">
        <v>170</v>
      </c>
      <c r="C29" s="4" t="s">
        <v>557</v>
      </c>
      <c r="D29" s="4" t="s">
        <v>83</v>
      </c>
      <c r="E29" s="4" t="s">
        <v>590</v>
      </c>
      <c r="F29" s="4">
        <v>0.0001</v>
      </c>
      <c r="K29" s="4">
        <v>-12.78</v>
      </c>
      <c r="L29" s="4">
        <v>0.93</v>
      </c>
      <c r="M29" s="4">
        <v>16542</v>
      </c>
      <c r="N29" s="4">
        <v>926</v>
      </c>
      <c r="O29" s="4">
        <v>51.12</v>
      </c>
      <c r="Q29" s="4">
        <v>31.63</v>
      </c>
      <c r="U29" s="4">
        <v>14.5</v>
      </c>
      <c r="V29" s="4">
        <v>3.55</v>
      </c>
      <c r="W29" s="4">
        <v>0.02</v>
      </c>
      <c r="Y29" s="4">
        <v>100.82</v>
      </c>
      <c r="Z29" s="6" t="s">
        <v>400</v>
      </c>
    </row>
    <row r="30" spans="1:26" ht="12.75">
      <c r="A30">
        <v>26</v>
      </c>
      <c r="B30" s="4" t="s">
        <v>171</v>
      </c>
      <c r="C30" s="4" t="s">
        <v>557</v>
      </c>
      <c r="D30" s="4" t="s">
        <v>83</v>
      </c>
      <c r="E30" s="4" t="s">
        <v>589</v>
      </c>
      <c r="F30" s="4">
        <v>0.0001</v>
      </c>
      <c r="K30" s="4">
        <v>-14.99</v>
      </c>
      <c r="L30" s="4">
        <v>0.73</v>
      </c>
      <c r="M30" s="4">
        <v>12874</v>
      </c>
      <c r="N30" s="4">
        <v>614</v>
      </c>
      <c r="O30" s="4">
        <v>53.17</v>
      </c>
      <c r="Q30" s="4">
        <v>29.76</v>
      </c>
      <c r="U30" s="4">
        <v>12.23</v>
      </c>
      <c r="V30" s="4">
        <v>4.25</v>
      </c>
      <c r="W30" s="4">
        <v>0.02</v>
      </c>
      <c r="Y30" s="4">
        <v>99.43</v>
      </c>
      <c r="Z30" s="6" t="s">
        <v>400</v>
      </c>
    </row>
    <row r="31" spans="1:26" ht="12.75">
      <c r="A31">
        <v>27</v>
      </c>
      <c r="B31" s="4" t="s">
        <v>172</v>
      </c>
      <c r="C31" s="4" t="s">
        <v>557</v>
      </c>
      <c r="D31" s="4" t="s">
        <v>83</v>
      </c>
      <c r="E31" s="4" t="s">
        <v>640</v>
      </c>
      <c r="F31" s="4">
        <v>0.0001</v>
      </c>
      <c r="K31" s="4">
        <v>-13.91</v>
      </c>
      <c r="L31" s="4">
        <v>0.61</v>
      </c>
      <c r="M31" s="4">
        <v>12626</v>
      </c>
      <c r="N31" s="4">
        <v>590</v>
      </c>
      <c r="O31" s="4">
        <v>55.2</v>
      </c>
      <c r="Q31" s="4">
        <v>28.24</v>
      </c>
      <c r="U31" s="4">
        <v>10.59</v>
      </c>
      <c r="V31" s="4">
        <v>5.75</v>
      </c>
      <c r="W31" s="4">
        <v>0.04</v>
      </c>
      <c r="Y31" s="4">
        <v>99.82</v>
      </c>
      <c r="Z31" s="6" t="s">
        <v>400</v>
      </c>
    </row>
    <row r="32" spans="1:26" ht="12.75">
      <c r="A32">
        <v>28</v>
      </c>
      <c r="B32" s="4" t="s">
        <v>112</v>
      </c>
      <c r="C32" s="4" t="s">
        <v>557</v>
      </c>
      <c r="D32" s="4" t="s">
        <v>83</v>
      </c>
      <c r="E32" s="4" t="s">
        <v>377</v>
      </c>
      <c r="F32" s="4">
        <v>0.0001</v>
      </c>
      <c r="K32" s="4">
        <v>-16.62</v>
      </c>
      <c r="L32" s="4">
        <v>2.36</v>
      </c>
      <c r="M32" s="4">
        <v>6318</v>
      </c>
      <c r="N32" s="4">
        <v>1876</v>
      </c>
      <c r="O32" s="4">
        <v>69</v>
      </c>
      <c r="Q32" s="4">
        <v>20.44</v>
      </c>
      <c r="R32" s="10"/>
      <c r="V32" s="4">
        <v>10.9</v>
      </c>
      <c r="W32" s="10"/>
      <c r="Y32" s="4">
        <v>100.34</v>
      </c>
      <c r="Z32" s="6" t="s">
        <v>525</v>
      </c>
    </row>
    <row r="33" spans="1:26" ht="12.75">
      <c r="A33">
        <v>29</v>
      </c>
      <c r="B33" s="8" t="s">
        <v>320</v>
      </c>
      <c r="C33" s="8" t="s">
        <v>228</v>
      </c>
      <c r="D33" s="4" t="s">
        <v>83</v>
      </c>
      <c r="E33" s="8" t="s">
        <v>421</v>
      </c>
      <c r="F33" s="8">
        <v>0.0001</v>
      </c>
      <c r="G33" s="8"/>
      <c r="H33" s="8"/>
      <c r="I33" s="11"/>
      <c r="J33" s="8"/>
      <c r="K33" s="8" t="s">
        <v>332</v>
      </c>
      <c r="R33" s="10"/>
      <c r="W33" s="10"/>
      <c r="Z33" s="6" t="s">
        <v>151</v>
      </c>
    </row>
    <row r="34" spans="1:27" ht="12.75">
      <c r="A34">
        <v>30</v>
      </c>
      <c r="B34" s="4" t="s">
        <v>153</v>
      </c>
      <c r="C34" s="4" t="s">
        <v>557</v>
      </c>
      <c r="D34" s="4" t="s">
        <v>83</v>
      </c>
      <c r="E34" s="4" t="s">
        <v>259</v>
      </c>
      <c r="F34" s="4">
        <v>0.0001</v>
      </c>
      <c r="K34" s="4">
        <v>-9.32</v>
      </c>
      <c r="L34" s="4">
        <v>1.89</v>
      </c>
      <c r="M34" s="4">
        <v>19729</v>
      </c>
      <c r="N34" s="4">
        <v>3066</v>
      </c>
      <c r="O34" s="4">
        <v>45.89</v>
      </c>
      <c r="P34" s="4">
        <v>3.72</v>
      </c>
      <c r="Q34" s="4">
        <v>16.55</v>
      </c>
      <c r="R34" s="10">
        <v>11.759</v>
      </c>
      <c r="S34" s="4">
        <v>0.18</v>
      </c>
      <c r="T34" s="4">
        <v>6.3</v>
      </c>
      <c r="U34" s="4">
        <v>9.62</v>
      </c>
      <c r="V34" s="4">
        <v>3.72</v>
      </c>
      <c r="W34" s="10">
        <v>1.66</v>
      </c>
      <c r="X34" s="4">
        <v>0.52</v>
      </c>
      <c r="Y34" s="9">
        <v>99.919</v>
      </c>
      <c r="Z34" s="6" t="s">
        <v>410</v>
      </c>
      <c r="AA34" s="4" t="s">
        <v>413</v>
      </c>
    </row>
    <row r="35" spans="1:27" ht="12.75">
      <c r="A35">
        <v>31</v>
      </c>
      <c r="B35" s="6" t="s">
        <v>75</v>
      </c>
      <c r="C35" s="4" t="s">
        <v>398</v>
      </c>
      <c r="D35" s="4" t="s">
        <v>264</v>
      </c>
      <c r="E35" s="4" t="s">
        <v>405</v>
      </c>
      <c r="F35" s="4" t="s">
        <v>618</v>
      </c>
      <c r="I35" s="10">
        <v>0.3</v>
      </c>
      <c r="K35" s="4">
        <v>-7.25</v>
      </c>
      <c r="L35" s="4">
        <v>4.14</v>
      </c>
      <c r="M35" s="4">
        <v>27474</v>
      </c>
      <c r="N35" s="4">
        <v>6858</v>
      </c>
      <c r="O35" s="4">
        <v>50.23</v>
      </c>
      <c r="P35" s="4">
        <v>1.94</v>
      </c>
      <c r="Q35" s="4">
        <v>13.61</v>
      </c>
      <c r="R35" s="4">
        <v>12.06</v>
      </c>
      <c r="S35" s="4">
        <v>0.22</v>
      </c>
      <c r="T35" s="4">
        <v>7.05</v>
      </c>
      <c r="U35" s="4">
        <v>10.75</v>
      </c>
      <c r="V35" s="4">
        <v>2.73</v>
      </c>
      <c r="W35" s="4">
        <v>0.17</v>
      </c>
      <c r="X35" s="4">
        <v>0.1</v>
      </c>
      <c r="Y35" s="4">
        <v>98.86</v>
      </c>
      <c r="Z35" s="14" t="s">
        <v>72</v>
      </c>
      <c r="AA35" s="4" t="s">
        <v>412</v>
      </c>
    </row>
    <row r="36" spans="1:27" ht="12.75">
      <c r="A36">
        <v>32</v>
      </c>
      <c r="B36" s="4" t="s">
        <v>167</v>
      </c>
      <c r="C36" s="4" t="s">
        <v>557</v>
      </c>
      <c r="D36" s="4" t="s">
        <v>83</v>
      </c>
      <c r="E36" s="4" t="s">
        <v>258</v>
      </c>
      <c r="F36" s="4">
        <v>0.0001</v>
      </c>
      <c r="K36" s="4">
        <v>-13.86</v>
      </c>
      <c r="L36" s="4">
        <v>2.95</v>
      </c>
      <c r="M36" s="4">
        <v>12109</v>
      </c>
      <c r="N36" s="4">
        <v>4781</v>
      </c>
      <c r="O36" s="4">
        <v>57.76</v>
      </c>
      <c r="P36" s="4">
        <v>0.85</v>
      </c>
      <c r="Q36" s="4">
        <v>19.14</v>
      </c>
      <c r="R36" s="10">
        <v>6.281</v>
      </c>
      <c r="S36" s="4">
        <v>0.11</v>
      </c>
      <c r="T36" s="4">
        <v>3.45</v>
      </c>
      <c r="U36" s="4">
        <v>6.27</v>
      </c>
      <c r="V36" s="4">
        <v>4.31</v>
      </c>
      <c r="W36" s="10">
        <v>1.79</v>
      </c>
      <c r="X36" s="4">
        <v>0.2</v>
      </c>
      <c r="Y36" s="4">
        <v>100.161</v>
      </c>
      <c r="Z36" s="6" t="s">
        <v>510</v>
      </c>
      <c r="AA36" s="4" t="s">
        <v>413</v>
      </c>
    </row>
    <row r="37" spans="1:26" ht="12.75">
      <c r="A37">
        <v>33</v>
      </c>
      <c r="B37" s="4" t="s">
        <v>101</v>
      </c>
      <c r="C37" s="4" t="s">
        <v>557</v>
      </c>
      <c r="D37" s="4" t="s">
        <v>83</v>
      </c>
      <c r="E37" s="4" t="s">
        <v>377</v>
      </c>
      <c r="F37" s="4">
        <v>0.0001</v>
      </c>
      <c r="K37" s="4">
        <v>-12.7</v>
      </c>
      <c r="L37" s="4">
        <v>4.62</v>
      </c>
      <c r="M37" s="4">
        <v>10916</v>
      </c>
      <c r="N37" s="4">
        <v>3542</v>
      </c>
      <c r="O37" s="4">
        <v>64.62</v>
      </c>
      <c r="Q37" s="4">
        <v>18.25</v>
      </c>
      <c r="R37" s="10"/>
      <c r="V37" s="4">
        <v>0.15</v>
      </c>
      <c r="W37" s="10">
        <v>16.5</v>
      </c>
      <c r="Y37" s="4">
        <v>99.52</v>
      </c>
      <c r="Z37" s="6" t="s">
        <v>525</v>
      </c>
    </row>
    <row r="38" spans="1:27" ht="12.75">
      <c r="A38">
        <v>34</v>
      </c>
      <c r="B38" s="4" t="s">
        <v>113</v>
      </c>
      <c r="C38" s="4" t="s">
        <v>557</v>
      </c>
      <c r="D38" s="4" t="s">
        <v>83</v>
      </c>
      <c r="E38" s="4" t="s">
        <v>257</v>
      </c>
      <c r="F38" s="4">
        <v>0.0001</v>
      </c>
      <c r="K38" s="4">
        <v>-9.84</v>
      </c>
      <c r="L38" s="4">
        <v>4.68</v>
      </c>
      <c r="M38" s="4">
        <v>17954</v>
      </c>
      <c r="N38" s="4">
        <v>7597</v>
      </c>
      <c r="O38" s="4">
        <v>69</v>
      </c>
      <c r="P38" s="4">
        <v>1.02</v>
      </c>
      <c r="Q38" s="4">
        <v>13.11</v>
      </c>
      <c r="R38" s="10">
        <v>5.3</v>
      </c>
      <c r="S38" s="4">
        <v>0.13</v>
      </c>
      <c r="T38" s="4">
        <v>1</v>
      </c>
      <c r="U38" s="4">
        <v>2.7</v>
      </c>
      <c r="V38" s="4">
        <v>4.21</v>
      </c>
      <c r="W38" s="10">
        <v>2.72</v>
      </c>
      <c r="X38" s="4">
        <v>0.24</v>
      </c>
      <c r="Y38" s="4">
        <v>99.43</v>
      </c>
      <c r="Z38" s="6" t="s">
        <v>531</v>
      </c>
      <c r="AA38" s="4" t="s">
        <v>413</v>
      </c>
    </row>
    <row r="39" spans="1:27" ht="12.75">
      <c r="A39">
        <v>35</v>
      </c>
      <c r="B39" s="4" t="s">
        <v>114</v>
      </c>
      <c r="C39" s="4" t="s">
        <v>228</v>
      </c>
      <c r="D39" s="4" t="s">
        <v>83</v>
      </c>
      <c r="E39" s="4" t="s">
        <v>230</v>
      </c>
      <c r="F39" s="4">
        <v>0.0001</v>
      </c>
      <c r="K39" s="4">
        <v>-12.76</v>
      </c>
      <c r="L39" s="4">
        <v>4.65</v>
      </c>
      <c r="M39" s="4">
        <v>12299</v>
      </c>
      <c r="N39" s="4">
        <v>7079</v>
      </c>
      <c r="O39" s="4">
        <v>69.2</v>
      </c>
      <c r="P39" s="4">
        <v>0.44</v>
      </c>
      <c r="Q39" s="4">
        <v>10.75</v>
      </c>
      <c r="R39" s="10">
        <v>8.5</v>
      </c>
      <c r="S39" s="4">
        <v>0.3</v>
      </c>
      <c r="T39" s="4">
        <v>0.11</v>
      </c>
      <c r="U39" s="4">
        <v>0.56</v>
      </c>
      <c r="V39" s="4">
        <v>6.32</v>
      </c>
      <c r="W39" s="10">
        <v>4.14</v>
      </c>
      <c r="X39" s="4">
        <v>0.02</v>
      </c>
      <c r="Y39" s="4">
        <v>100.34</v>
      </c>
      <c r="Z39" s="6" t="s">
        <v>531</v>
      </c>
      <c r="AA39" s="4" t="s">
        <v>413</v>
      </c>
    </row>
    <row r="40" spans="1:26" ht="12.75">
      <c r="A40">
        <v>36</v>
      </c>
      <c r="B40" s="4" t="s">
        <v>120</v>
      </c>
      <c r="C40" s="4" t="s">
        <v>557</v>
      </c>
      <c r="D40" s="4" t="s">
        <v>83</v>
      </c>
      <c r="E40" s="4" t="s">
        <v>582</v>
      </c>
      <c r="F40" s="4">
        <v>0.0001</v>
      </c>
      <c r="J40" s="10"/>
      <c r="K40" s="4">
        <v>-13.8</v>
      </c>
      <c r="L40" s="4">
        <v>0.71</v>
      </c>
      <c r="M40" s="4">
        <v>10067</v>
      </c>
      <c r="N40" s="4">
        <v>424</v>
      </c>
      <c r="O40" s="4">
        <v>73.01</v>
      </c>
      <c r="P40" s="4">
        <v>0.2</v>
      </c>
      <c r="Q40" s="4">
        <v>12.57</v>
      </c>
      <c r="R40" s="9">
        <v>2.71</v>
      </c>
      <c r="S40" s="4">
        <v>0.05</v>
      </c>
      <c r="T40" s="4">
        <v>0.54</v>
      </c>
      <c r="U40" s="4">
        <v>0.41</v>
      </c>
      <c r="V40" s="4">
        <v>5.05</v>
      </c>
      <c r="W40" s="4">
        <v>4.6</v>
      </c>
      <c r="Y40" s="9">
        <f>SUM(O40:X40)</f>
        <v>99.13999999999999</v>
      </c>
      <c r="Z40" s="6" t="s">
        <v>508</v>
      </c>
    </row>
    <row r="41" spans="1:26" ht="12.75">
      <c r="A41">
        <v>37</v>
      </c>
      <c r="B41" s="4" t="s">
        <v>122</v>
      </c>
      <c r="C41" s="4" t="s">
        <v>557</v>
      </c>
      <c r="D41" s="4" t="s">
        <v>83</v>
      </c>
      <c r="E41" s="4" t="s">
        <v>451</v>
      </c>
      <c r="F41" s="4">
        <v>0.21</v>
      </c>
      <c r="I41" s="10">
        <v>3.5</v>
      </c>
      <c r="K41" s="4">
        <v>-14.93</v>
      </c>
      <c r="L41" s="4">
        <v>2.11</v>
      </c>
      <c r="M41" s="4">
        <v>8206</v>
      </c>
      <c r="N41" s="4">
        <v>2188</v>
      </c>
      <c r="O41" s="4">
        <v>76.01</v>
      </c>
      <c r="P41" s="4">
        <v>0.11</v>
      </c>
      <c r="Q41" s="4">
        <v>13</v>
      </c>
      <c r="R41" s="10">
        <v>0.7</v>
      </c>
      <c r="S41" s="4">
        <v>0.08</v>
      </c>
      <c r="T41" s="4">
        <v>0.09</v>
      </c>
      <c r="U41" s="4">
        <v>0.52</v>
      </c>
      <c r="V41" s="4">
        <v>3.65</v>
      </c>
      <c r="W41" s="10">
        <v>4.81</v>
      </c>
      <c r="Y41" s="4">
        <v>99.14</v>
      </c>
      <c r="Z41" s="6" t="s">
        <v>526</v>
      </c>
    </row>
    <row r="42" spans="1:27" ht="12.75">
      <c r="A42">
        <v>38</v>
      </c>
      <c r="B42" s="4" t="s">
        <v>126</v>
      </c>
      <c r="C42" s="4" t="s">
        <v>228</v>
      </c>
      <c r="D42" s="4" t="s">
        <v>83</v>
      </c>
      <c r="E42" s="4" t="s">
        <v>204</v>
      </c>
      <c r="F42" s="4">
        <v>0.0001</v>
      </c>
      <c r="I42" s="10">
        <v>0.11</v>
      </c>
      <c r="J42" s="10"/>
      <c r="K42" s="4">
        <v>-13.02</v>
      </c>
      <c r="M42" s="4">
        <v>11525</v>
      </c>
      <c r="O42" s="4">
        <v>76.87</v>
      </c>
      <c r="P42" s="4">
        <v>0.07</v>
      </c>
      <c r="Q42" s="4">
        <v>12.2</v>
      </c>
      <c r="R42" s="9">
        <v>0.94</v>
      </c>
      <c r="S42" s="4">
        <v>0.05</v>
      </c>
      <c r="T42" s="4">
        <v>0.05</v>
      </c>
      <c r="U42" s="4">
        <v>0.3</v>
      </c>
      <c r="V42" s="4">
        <v>4.38</v>
      </c>
      <c r="W42" s="4">
        <v>4.4</v>
      </c>
      <c r="Y42" s="9">
        <f>SUM(O42:X42)</f>
        <v>99.25999999999999</v>
      </c>
      <c r="Z42" s="6" t="s">
        <v>138</v>
      </c>
      <c r="AA42" s="2"/>
    </row>
    <row r="43" spans="1:27" ht="12.75">
      <c r="A43">
        <v>39</v>
      </c>
      <c r="B43" s="4" t="s">
        <v>89</v>
      </c>
      <c r="C43" s="4" t="s">
        <v>398</v>
      </c>
      <c r="D43" s="4" t="s">
        <v>130</v>
      </c>
      <c r="E43" s="4" t="s">
        <v>90</v>
      </c>
      <c r="F43" s="4" t="s">
        <v>91</v>
      </c>
      <c r="J43" s="10"/>
      <c r="K43" s="4">
        <v>-13.52</v>
      </c>
      <c r="L43" s="4">
        <v>0.39</v>
      </c>
      <c r="M43" s="4">
        <v>10210</v>
      </c>
      <c r="N43" s="4">
        <v>243</v>
      </c>
      <c r="R43" s="9"/>
      <c r="Y43" s="9"/>
      <c r="Z43" s="6" t="s">
        <v>151</v>
      </c>
      <c r="AA43" s="2"/>
    </row>
    <row r="44" spans="1:26" ht="12.75">
      <c r="A44">
        <v>40</v>
      </c>
      <c r="Z44" s="6"/>
    </row>
    <row r="45" spans="1:27" ht="12.75">
      <c r="A45">
        <v>41</v>
      </c>
      <c r="B45" s="4" t="s">
        <v>103</v>
      </c>
      <c r="C45" s="4" t="s">
        <v>420</v>
      </c>
      <c r="D45" s="4" t="s">
        <v>134</v>
      </c>
      <c r="E45" s="4" t="s">
        <v>233</v>
      </c>
      <c r="F45" s="4">
        <v>1</v>
      </c>
      <c r="K45" s="4">
        <v>-10.39</v>
      </c>
      <c r="L45" s="4">
        <v>0.6</v>
      </c>
      <c r="M45" s="4">
        <v>17541</v>
      </c>
      <c r="N45" s="4">
        <v>871</v>
      </c>
      <c r="O45" s="4">
        <f>0.25*69.14+0.75*65.13</f>
        <v>66.1325</v>
      </c>
      <c r="Q45" s="4">
        <f>0.75*19.26+0.25*18.52</f>
        <v>19.075</v>
      </c>
      <c r="R45" s="10"/>
      <c r="V45" s="4">
        <f>0.25*11.42</f>
        <v>2.855</v>
      </c>
      <c r="W45" s="10">
        <f>0.75*17.76</f>
        <v>13.32</v>
      </c>
      <c r="Y45" s="9">
        <f>SUM(O45:X45)</f>
        <v>101.3825</v>
      </c>
      <c r="Z45" s="6" t="s">
        <v>538</v>
      </c>
      <c r="AA45" s="25"/>
    </row>
    <row r="46" spans="1:26" ht="12.75">
      <c r="A46">
        <v>42</v>
      </c>
      <c r="B46" s="4" t="s">
        <v>105</v>
      </c>
      <c r="C46" s="4" t="s">
        <v>420</v>
      </c>
      <c r="D46" s="4" t="s">
        <v>134</v>
      </c>
      <c r="E46" s="4" t="s">
        <v>233</v>
      </c>
      <c r="F46" s="4">
        <v>1</v>
      </c>
      <c r="K46" s="4">
        <v>-11.22</v>
      </c>
      <c r="L46" s="4">
        <v>1.18</v>
      </c>
      <c r="M46" s="4">
        <v>16758</v>
      </c>
      <c r="N46" s="4">
        <v>1703</v>
      </c>
      <c r="O46" s="4">
        <f>0.5*(69.14+65.13)</f>
        <v>67.13499999999999</v>
      </c>
      <c r="Q46" s="4">
        <f>0.5*(19.26+18.52)</f>
        <v>18.89</v>
      </c>
      <c r="R46" s="10"/>
      <c r="V46" s="4">
        <f>0.5*(11.42+0)</f>
        <v>5.71</v>
      </c>
      <c r="W46" s="10">
        <f>0.5*(0+17.76)</f>
        <v>8.88</v>
      </c>
      <c r="Y46" s="9">
        <f>SUM(O46:X46)</f>
        <v>100.61499999999998</v>
      </c>
      <c r="Z46" s="6" t="s">
        <v>538</v>
      </c>
    </row>
    <row r="47" spans="1:26" ht="12.75">
      <c r="A47">
        <v>43</v>
      </c>
      <c r="B47" s="4" t="s">
        <v>108</v>
      </c>
      <c r="C47" s="4" t="s">
        <v>420</v>
      </c>
      <c r="D47" s="4" t="s">
        <v>134</v>
      </c>
      <c r="E47" s="4" t="s">
        <v>233</v>
      </c>
      <c r="F47" s="4">
        <v>1</v>
      </c>
      <c r="K47" s="4">
        <v>-11.5</v>
      </c>
      <c r="L47" s="4">
        <v>1.82</v>
      </c>
      <c r="M47" s="4">
        <v>16629</v>
      </c>
      <c r="N47" s="4">
        <v>2657</v>
      </c>
      <c r="O47" s="4">
        <f>0.75*69.14+0.25*65.13</f>
        <v>68.1375</v>
      </c>
      <c r="Q47" s="4">
        <f>0.75*19.26+0.25*18.52</f>
        <v>19.075</v>
      </c>
      <c r="R47" s="10"/>
      <c r="V47" s="4">
        <f>0.75*11.42</f>
        <v>8.565</v>
      </c>
      <c r="W47" s="10">
        <f>0.25*17.76</f>
        <v>4.44</v>
      </c>
      <c r="Y47" s="9">
        <f>SUM(O47:X47)</f>
        <v>100.2175</v>
      </c>
      <c r="Z47" s="6" t="s">
        <v>538</v>
      </c>
    </row>
    <row r="48" spans="1:27" ht="12.75">
      <c r="A48">
        <v>44</v>
      </c>
      <c r="B48" s="4" t="s">
        <v>445</v>
      </c>
      <c r="C48" s="4" t="s">
        <v>420</v>
      </c>
      <c r="D48" s="4" t="s">
        <v>134</v>
      </c>
      <c r="E48" s="4" t="s">
        <v>233</v>
      </c>
      <c r="F48" s="4" t="s">
        <v>480</v>
      </c>
      <c r="K48" s="8" t="s">
        <v>243</v>
      </c>
      <c r="R48" s="10"/>
      <c r="W48" s="10"/>
      <c r="Y48" s="9"/>
      <c r="Z48" s="6" t="s">
        <v>151</v>
      </c>
      <c r="AA48" s="4" t="s">
        <v>260</v>
      </c>
    </row>
    <row r="49" spans="1:26" ht="12.75">
      <c r="A49">
        <v>45</v>
      </c>
      <c r="Z49" s="6"/>
    </row>
    <row r="50" spans="1:26" ht="12.75">
      <c r="A50">
        <v>46</v>
      </c>
      <c r="B50" s="4" t="s">
        <v>168</v>
      </c>
      <c r="C50" s="4" t="s">
        <v>560</v>
      </c>
      <c r="D50" s="4" t="s">
        <v>83</v>
      </c>
      <c r="E50" s="4" t="s">
        <v>302</v>
      </c>
      <c r="F50" s="4">
        <v>0.0001</v>
      </c>
      <c r="K50" s="4">
        <v>-12.11</v>
      </c>
      <c r="L50" s="4">
        <v>1.62</v>
      </c>
      <c r="M50" s="4">
        <v>15281</v>
      </c>
      <c r="N50" s="4">
        <v>1888</v>
      </c>
      <c r="O50" s="4">
        <v>59.86</v>
      </c>
      <c r="Q50" s="4">
        <v>25.52</v>
      </c>
      <c r="R50" s="10">
        <v>0.023</v>
      </c>
      <c r="S50" s="4">
        <v>0.021</v>
      </c>
      <c r="T50" s="4">
        <v>0.004</v>
      </c>
      <c r="U50" s="4">
        <v>0.018</v>
      </c>
      <c r="V50" s="4">
        <v>14.58</v>
      </c>
      <c r="W50" s="10">
        <v>0.022</v>
      </c>
      <c r="Y50" s="4">
        <f>SUM(O50:X50)</f>
        <v>100.048</v>
      </c>
      <c r="Z50" s="6" t="s">
        <v>529</v>
      </c>
    </row>
    <row r="51" spans="1:26" ht="12.75">
      <c r="A51">
        <v>47</v>
      </c>
      <c r="B51" s="4" t="s">
        <v>101</v>
      </c>
      <c r="C51" s="4" t="s">
        <v>560</v>
      </c>
      <c r="D51" s="4" t="s">
        <v>83</v>
      </c>
      <c r="E51" s="4" t="s">
        <v>182</v>
      </c>
      <c r="F51" s="4">
        <v>0.0001</v>
      </c>
      <c r="K51" s="4">
        <v>-18.21</v>
      </c>
      <c r="L51" s="4">
        <v>0.73</v>
      </c>
      <c r="M51" s="4">
        <v>8506</v>
      </c>
      <c r="N51" s="4">
        <v>606</v>
      </c>
      <c r="O51" s="4">
        <v>64.62</v>
      </c>
      <c r="Q51" s="4">
        <v>18.25</v>
      </c>
      <c r="R51" s="10"/>
      <c r="V51" s="4">
        <v>0.15</v>
      </c>
      <c r="W51" s="10">
        <v>16.5</v>
      </c>
      <c r="Y51" s="4">
        <v>99.52</v>
      </c>
      <c r="Z51" s="6" t="s">
        <v>525</v>
      </c>
    </row>
    <row r="52" spans="1:26" ht="12.75">
      <c r="A52">
        <v>48</v>
      </c>
      <c r="B52" s="4" t="s">
        <v>112</v>
      </c>
      <c r="C52" s="4" t="s">
        <v>560</v>
      </c>
      <c r="D52" s="4" t="s">
        <v>83</v>
      </c>
      <c r="E52" s="4" t="s">
        <v>418</v>
      </c>
      <c r="F52" s="4">
        <v>0.0001</v>
      </c>
      <c r="K52" s="4">
        <v>-15.19</v>
      </c>
      <c r="L52" s="4">
        <v>0.49</v>
      </c>
      <c r="M52" s="4">
        <v>11982</v>
      </c>
      <c r="N52" s="4">
        <v>451</v>
      </c>
      <c r="O52" s="4">
        <v>69</v>
      </c>
      <c r="Q52" s="4">
        <v>20.44</v>
      </c>
      <c r="R52" s="10"/>
      <c r="V52" s="4">
        <v>10.9</v>
      </c>
      <c r="W52" s="10"/>
      <c r="Y52" s="4">
        <v>100.34</v>
      </c>
      <c r="Z52" s="6" t="s">
        <v>525</v>
      </c>
    </row>
    <row r="53" spans="1:26" ht="12.75">
      <c r="A53">
        <v>49</v>
      </c>
      <c r="B53" s="4" t="s">
        <v>120</v>
      </c>
      <c r="C53" s="4" t="s">
        <v>560</v>
      </c>
      <c r="D53" s="4" t="s">
        <v>83</v>
      </c>
      <c r="E53" t="s">
        <v>404</v>
      </c>
      <c r="F53" s="4">
        <v>0.0001</v>
      </c>
      <c r="J53" s="10"/>
      <c r="K53" s="4">
        <v>-14.87</v>
      </c>
      <c r="L53" s="4">
        <v>1.11</v>
      </c>
      <c r="M53" s="4">
        <v>12775</v>
      </c>
      <c r="N53" s="4">
        <v>927</v>
      </c>
      <c r="O53" s="4">
        <v>73.01</v>
      </c>
      <c r="P53" s="4">
        <v>0.2</v>
      </c>
      <c r="Q53" s="4">
        <v>12.57</v>
      </c>
      <c r="R53" s="9">
        <v>2.71</v>
      </c>
      <c r="S53" s="4">
        <v>0.05</v>
      </c>
      <c r="T53" s="4">
        <v>0.54</v>
      </c>
      <c r="U53" s="4">
        <v>0.41</v>
      </c>
      <c r="V53" s="4">
        <v>5.05</v>
      </c>
      <c r="W53" s="4">
        <v>4.6</v>
      </c>
      <c r="Y53" s="9">
        <f>SUM(O53:X53)</f>
        <v>99.13999999999999</v>
      </c>
      <c r="Z53" s="6" t="s">
        <v>508</v>
      </c>
    </row>
    <row r="54" spans="1:26" ht="12.75">
      <c r="A54">
        <v>50</v>
      </c>
      <c r="E54"/>
      <c r="R54" s="9"/>
      <c r="Y54" s="9"/>
      <c r="Z54" s="6"/>
    </row>
    <row r="55" spans="1:26" ht="12.75">
      <c r="A55">
        <v>51</v>
      </c>
      <c r="B55" s="4" t="s">
        <v>173</v>
      </c>
      <c r="C55" s="4" t="s">
        <v>390</v>
      </c>
      <c r="D55" s="4" t="s">
        <v>130</v>
      </c>
      <c r="E55" s="4" t="s">
        <v>515</v>
      </c>
      <c r="F55" s="4">
        <v>0.5</v>
      </c>
      <c r="I55" s="10" t="s">
        <v>268</v>
      </c>
      <c r="K55" s="4">
        <v>-3.85</v>
      </c>
      <c r="L55" s="4">
        <v>9.09</v>
      </c>
      <c r="M55" s="4">
        <v>31207</v>
      </c>
      <c r="N55" s="4">
        <v>13376</v>
      </c>
      <c r="O55" s="4">
        <v>59.8</v>
      </c>
      <c r="P55" s="4">
        <v>0.78</v>
      </c>
      <c r="Q55" s="4">
        <v>19.52</v>
      </c>
      <c r="R55" s="9">
        <v>2.95</v>
      </c>
      <c r="T55" s="4">
        <v>0.66</v>
      </c>
      <c r="U55" s="4">
        <v>3.86</v>
      </c>
      <c r="V55" s="4">
        <v>5.5</v>
      </c>
      <c r="W55" s="4">
        <v>7.31</v>
      </c>
      <c r="Y55" s="9">
        <v>100.38</v>
      </c>
      <c r="Z55" s="6" t="s">
        <v>391</v>
      </c>
    </row>
    <row r="56" spans="1:26" ht="12.75">
      <c r="A56">
        <v>52</v>
      </c>
      <c r="B56" s="4" t="s">
        <v>168</v>
      </c>
      <c r="C56" s="4" t="s">
        <v>390</v>
      </c>
      <c r="D56" s="4" t="s">
        <v>83</v>
      </c>
      <c r="E56" s="4" t="s">
        <v>322</v>
      </c>
      <c r="F56" s="4">
        <v>0.0001</v>
      </c>
      <c r="K56" s="4">
        <v>-12.01</v>
      </c>
      <c r="L56" s="4">
        <v>1</v>
      </c>
      <c r="M56" s="4">
        <v>19685</v>
      </c>
      <c r="N56" s="4">
        <v>1132</v>
      </c>
      <c r="O56" s="4">
        <v>59.86</v>
      </c>
      <c r="Q56" s="4">
        <v>25.52</v>
      </c>
      <c r="R56" s="10">
        <v>0.023</v>
      </c>
      <c r="S56" s="4">
        <v>0.021</v>
      </c>
      <c r="T56" s="4">
        <v>0.004</v>
      </c>
      <c r="U56" s="4">
        <v>0.018</v>
      </c>
      <c r="V56" s="4">
        <v>14.58</v>
      </c>
      <c r="W56" s="10">
        <v>0.022</v>
      </c>
      <c r="Y56" s="4">
        <f>SUM(O56:X56)</f>
        <v>100.048</v>
      </c>
      <c r="Z56" s="6" t="s">
        <v>529</v>
      </c>
    </row>
    <row r="57" spans="1:26" ht="12.75">
      <c r="A57">
        <v>53</v>
      </c>
      <c r="B57" s="4" t="s">
        <v>176</v>
      </c>
      <c r="C57" s="4" t="s">
        <v>390</v>
      </c>
      <c r="D57" s="4" t="s">
        <v>130</v>
      </c>
      <c r="E57" s="4" t="s">
        <v>466</v>
      </c>
      <c r="F57" s="4">
        <v>0.5</v>
      </c>
      <c r="I57" s="10" t="s">
        <v>387</v>
      </c>
      <c r="K57" s="4">
        <v>-12.76</v>
      </c>
      <c r="L57" s="4">
        <v>0.77</v>
      </c>
      <c r="M57" s="4">
        <v>15662</v>
      </c>
      <c r="N57" s="4">
        <v>1166</v>
      </c>
      <c r="O57" s="4">
        <v>62.09</v>
      </c>
      <c r="Q57" s="4">
        <v>19.47</v>
      </c>
      <c r="R57" s="10"/>
      <c r="T57" s="4">
        <v>2.53</v>
      </c>
      <c r="U57" s="4">
        <v>10.64</v>
      </c>
      <c r="V57" s="4">
        <v>4.25</v>
      </c>
      <c r="W57" s="10">
        <v>1.02</v>
      </c>
      <c r="Y57" s="4">
        <f>SUM(O57:X57)</f>
        <v>100</v>
      </c>
      <c r="Z57" s="6" t="s">
        <v>497</v>
      </c>
    </row>
    <row r="58" spans="1:26" s="26" customFormat="1" ht="12.75">
      <c r="A58">
        <v>54</v>
      </c>
      <c r="B58" s="6" t="s">
        <v>683</v>
      </c>
      <c r="C58" s="6" t="s">
        <v>390</v>
      </c>
      <c r="D58" s="6" t="s">
        <v>92</v>
      </c>
      <c r="E58" s="6" t="s">
        <v>466</v>
      </c>
      <c r="F58" s="6">
        <v>0.5</v>
      </c>
      <c r="G58" s="6"/>
      <c r="H58" s="6"/>
      <c r="I58" s="13"/>
      <c r="J58" s="6"/>
      <c r="K58" s="12" t="s">
        <v>53</v>
      </c>
      <c r="L58" s="14"/>
      <c r="M58" s="14"/>
      <c r="N58" s="14"/>
      <c r="O58" s="14"/>
      <c r="P58" s="14"/>
      <c r="Q58" s="14"/>
      <c r="R58" s="16"/>
      <c r="S58" s="14"/>
      <c r="T58" s="14"/>
      <c r="U58" s="14"/>
      <c r="V58" s="14"/>
      <c r="W58" s="16"/>
      <c r="X58" s="14"/>
      <c r="Y58" s="14"/>
      <c r="Z58" s="14" t="s">
        <v>93</v>
      </c>
    </row>
    <row r="59" spans="1:26" s="26" customFormat="1" ht="12.75">
      <c r="A59">
        <v>55</v>
      </c>
      <c r="B59" s="14" t="s">
        <v>54</v>
      </c>
      <c r="C59" s="14" t="s">
        <v>390</v>
      </c>
      <c r="D59" s="14" t="s">
        <v>55</v>
      </c>
      <c r="E59" s="14" t="s">
        <v>389</v>
      </c>
      <c r="F59" s="14">
        <v>0.5</v>
      </c>
      <c r="G59" s="14"/>
      <c r="H59" s="14"/>
      <c r="I59" s="16" t="s">
        <v>388</v>
      </c>
      <c r="J59" s="14"/>
      <c r="K59" s="14">
        <v>-15.38</v>
      </c>
      <c r="L59" s="14">
        <v>4.58</v>
      </c>
      <c r="M59" s="14">
        <v>16757</v>
      </c>
      <c r="N59" s="14">
        <v>6611</v>
      </c>
      <c r="O59" s="14">
        <v>62.37</v>
      </c>
      <c r="P59" s="14">
        <v>0.48</v>
      </c>
      <c r="Q59" s="14">
        <v>18.61</v>
      </c>
      <c r="R59" s="27">
        <v>3.68</v>
      </c>
      <c r="S59" s="14"/>
      <c r="T59" s="14">
        <v>0.24</v>
      </c>
      <c r="U59" s="14">
        <v>1.73</v>
      </c>
      <c r="V59" s="14">
        <v>5.43</v>
      </c>
      <c r="W59" s="14">
        <v>7.25</v>
      </c>
      <c r="X59" s="14"/>
      <c r="Y59" s="27">
        <v>99.79</v>
      </c>
      <c r="Z59" s="14" t="s">
        <v>391</v>
      </c>
    </row>
    <row r="60" spans="1:26" s="26" customFormat="1" ht="12.75">
      <c r="A60">
        <v>56</v>
      </c>
      <c r="B60" s="14" t="s">
        <v>56</v>
      </c>
      <c r="C60" s="14" t="s">
        <v>390</v>
      </c>
      <c r="D60" s="14" t="s">
        <v>57</v>
      </c>
      <c r="E60" s="14" t="s">
        <v>389</v>
      </c>
      <c r="F60" s="14">
        <v>0.5</v>
      </c>
      <c r="G60" s="14"/>
      <c r="H60" s="14"/>
      <c r="I60" s="16" t="s">
        <v>267</v>
      </c>
      <c r="J60" s="14"/>
      <c r="K60" s="14">
        <v>-13.59</v>
      </c>
      <c r="L60" s="14">
        <v>2.03</v>
      </c>
      <c r="M60" s="14">
        <v>14429</v>
      </c>
      <c r="N60" s="14">
        <v>2881</v>
      </c>
      <c r="O60" s="14">
        <v>62.37</v>
      </c>
      <c r="P60" s="14">
        <v>0.48</v>
      </c>
      <c r="Q60" s="14">
        <v>18.61</v>
      </c>
      <c r="R60" s="27">
        <v>3.68</v>
      </c>
      <c r="S60" s="14"/>
      <c r="T60" s="14">
        <v>0.24</v>
      </c>
      <c r="U60" s="14">
        <v>1.73</v>
      </c>
      <c r="V60" s="14">
        <v>5.43</v>
      </c>
      <c r="W60" s="14">
        <v>7.25</v>
      </c>
      <c r="X60" s="14"/>
      <c r="Y60" s="27">
        <v>99.79</v>
      </c>
      <c r="Z60" s="14" t="s">
        <v>391</v>
      </c>
    </row>
    <row r="61" spans="1:26" s="2" customFormat="1" ht="12.75">
      <c r="A61">
        <v>57</v>
      </c>
      <c r="B61" s="14" t="s">
        <v>561</v>
      </c>
      <c r="C61" s="14" t="s">
        <v>390</v>
      </c>
      <c r="D61" s="14" t="s">
        <v>58</v>
      </c>
      <c r="E61" s="14" t="s">
        <v>389</v>
      </c>
      <c r="F61" s="14"/>
      <c r="G61" s="14"/>
      <c r="H61" s="14"/>
      <c r="I61" s="16" t="s">
        <v>662</v>
      </c>
      <c r="J61" s="14"/>
      <c r="K61" s="8" t="s">
        <v>59</v>
      </c>
      <c r="L61" s="6"/>
      <c r="M61" s="6"/>
      <c r="N61" s="6"/>
      <c r="O61" s="6"/>
      <c r="P61" s="6"/>
      <c r="Q61" s="6"/>
      <c r="R61" s="28"/>
      <c r="S61" s="6"/>
      <c r="T61" s="6"/>
      <c r="U61" s="6"/>
      <c r="V61" s="6"/>
      <c r="W61" s="6"/>
      <c r="X61" s="6"/>
      <c r="Y61" s="28"/>
      <c r="Z61" s="6" t="s">
        <v>94</v>
      </c>
    </row>
    <row r="62" spans="1:26" s="2" customFormat="1" ht="12.75">
      <c r="A62">
        <v>58</v>
      </c>
      <c r="B62" s="6" t="s">
        <v>60</v>
      </c>
      <c r="C62" s="6" t="s">
        <v>390</v>
      </c>
      <c r="D62" s="6" t="s">
        <v>57</v>
      </c>
      <c r="E62" s="6" t="s">
        <v>321</v>
      </c>
      <c r="F62" s="6">
        <v>0.0001</v>
      </c>
      <c r="G62" s="6"/>
      <c r="H62" s="6"/>
      <c r="I62" s="13"/>
      <c r="J62" s="6"/>
      <c r="K62" s="6">
        <v>-15.68</v>
      </c>
      <c r="L62" s="6">
        <v>1.05</v>
      </c>
      <c r="M62" s="6">
        <v>11915</v>
      </c>
      <c r="N62" s="6">
        <v>1006</v>
      </c>
      <c r="O62" s="6">
        <v>64.62</v>
      </c>
      <c r="P62" s="6"/>
      <c r="Q62" s="6">
        <v>18.25</v>
      </c>
      <c r="R62" s="13"/>
      <c r="S62" s="6"/>
      <c r="T62" s="6"/>
      <c r="U62" s="6"/>
      <c r="V62" s="6">
        <v>0.15</v>
      </c>
      <c r="W62" s="13">
        <v>16.5</v>
      </c>
      <c r="X62" s="6"/>
      <c r="Y62" s="6">
        <v>99.52</v>
      </c>
      <c r="Z62" s="6" t="s">
        <v>61</v>
      </c>
    </row>
    <row r="63" spans="1:27" s="2" customFormat="1" ht="12.75">
      <c r="A63">
        <v>59</v>
      </c>
      <c r="B63" s="4" t="s">
        <v>112</v>
      </c>
      <c r="C63" s="4" t="s">
        <v>390</v>
      </c>
      <c r="D63" s="4" t="s">
        <v>83</v>
      </c>
      <c r="E63" s="4" t="s">
        <v>321</v>
      </c>
      <c r="F63" s="4">
        <v>0.0001</v>
      </c>
      <c r="G63" s="4"/>
      <c r="H63" s="4"/>
      <c r="I63" s="10"/>
      <c r="J63" s="4"/>
      <c r="K63" s="4">
        <v>-14.57</v>
      </c>
      <c r="L63" s="4">
        <v>0.75</v>
      </c>
      <c r="M63" s="4">
        <v>16272</v>
      </c>
      <c r="N63" s="4">
        <v>713</v>
      </c>
      <c r="O63" s="4">
        <v>69</v>
      </c>
      <c r="P63" s="4"/>
      <c r="Q63" s="4">
        <v>20.44</v>
      </c>
      <c r="R63" s="10"/>
      <c r="S63" s="4"/>
      <c r="T63" s="4"/>
      <c r="U63" s="4"/>
      <c r="V63" s="4">
        <v>10.9</v>
      </c>
      <c r="W63" s="10"/>
      <c r="X63" s="4"/>
      <c r="Y63" s="4">
        <v>100.34</v>
      </c>
      <c r="Z63" s="6" t="s">
        <v>525</v>
      </c>
      <c r="AA63"/>
    </row>
    <row r="64" spans="1:27" s="2" customFormat="1" ht="12.75">
      <c r="A64">
        <v>60</v>
      </c>
      <c r="B64" s="4" t="s">
        <v>120</v>
      </c>
      <c r="C64" s="4" t="s">
        <v>676</v>
      </c>
      <c r="D64" s="4" t="s">
        <v>83</v>
      </c>
      <c r="E64" s="4" t="s">
        <v>675</v>
      </c>
      <c r="F64" s="4">
        <v>0.0001</v>
      </c>
      <c r="G64" s="4"/>
      <c r="H64" s="4"/>
      <c r="I64" s="10"/>
      <c r="J64" s="10"/>
      <c r="K64" s="4">
        <v>-15.42</v>
      </c>
      <c r="L64" s="4">
        <v>0.27</v>
      </c>
      <c r="M64" s="4">
        <v>15299</v>
      </c>
      <c r="N64" s="4">
        <v>249</v>
      </c>
      <c r="O64" s="4">
        <v>73.01</v>
      </c>
      <c r="P64" s="4">
        <v>0.2</v>
      </c>
      <c r="Q64" s="4">
        <v>12.57</v>
      </c>
      <c r="R64" s="9">
        <v>2.71</v>
      </c>
      <c r="S64" s="4">
        <v>0.05</v>
      </c>
      <c r="T64" s="4">
        <v>0.54</v>
      </c>
      <c r="U64" s="4">
        <v>0.41</v>
      </c>
      <c r="V64" s="4">
        <v>5.05</v>
      </c>
      <c r="W64" s="4">
        <v>4.6</v>
      </c>
      <c r="X64" s="4"/>
      <c r="Y64" s="9">
        <f>SUM(O64:X64)</f>
        <v>99.13999999999999</v>
      </c>
      <c r="Z64" s="6" t="s">
        <v>508</v>
      </c>
      <c r="AA64"/>
    </row>
    <row r="65" spans="1:26" ht="12.75">
      <c r="A65">
        <v>61</v>
      </c>
      <c r="R65" s="9"/>
      <c r="Y65" s="9"/>
      <c r="Z65" s="6"/>
    </row>
    <row r="66" spans="1:26" ht="12.75">
      <c r="A66">
        <v>62</v>
      </c>
      <c r="B66" s="4" t="s">
        <v>153</v>
      </c>
      <c r="C66" s="4" t="s">
        <v>458</v>
      </c>
      <c r="D66" s="4" t="s">
        <v>83</v>
      </c>
      <c r="E66" s="4" t="s">
        <v>180</v>
      </c>
      <c r="F66" s="4">
        <v>0.0001</v>
      </c>
      <c r="K66" s="4">
        <v>-4.39</v>
      </c>
      <c r="L66" s="4">
        <v>4.19</v>
      </c>
      <c r="M66" s="4">
        <v>32943</v>
      </c>
      <c r="N66" s="4">
        <v>6809</v>
      </c>
      <c r="O66" s="4">
        <v>45.89</v>
      </c>
      <c r="P66" s="4">
        <v>3.72</v>
      </c>
      <c r="Q66" s="4">
        <v>16.55</v>
      </c>
      <c r="R66" s="10">
        <v>11.759</v>
      </c>
      <c r="S66" s="4">
        <v>0.18</v>
      </c>
      <c r="T66" s="4">
        <v>6.3</v>
      </c>
      <c r="U66" s="4">
        <v>9.62</v>
      </c>
      <c r="V66" s="4">
        <v>3.72</v>
      </c>
      <c r="W66" s="10">
        <v>1.66</v>
      </c>
      <c r="X66" s="4">
        <v>0.52</v>
      </c>
      <c r="Y66" s="9">
        <v>99.919</v>
      </c>
      <c r="Z66" s="6" t="s">
        <v>573</v>
      </c>
    </row>
    <row r="67" spans="1:27" s="25" customFormat="1" ht="12.75">
      <c r="A67">
        <v>63</v>
      </c>
      <c r="B67" s="4" t="s">
        <v>167</v>
      </c>
      <c r="C67" s="4" t="s">
        <v>458</v>
      </c>
      <c r="D67" s="4" t="s">
        <v>83</v>
      </c>
      <c r="E67" s="4" t="s">
        <v>179</v>
      </c>
      <c r="F67" s="4">
        <v>0.0001</v>
      </c>
      <c r="G67" s="4"/>
      <c r="H67" s="4"/>
      <c r="I67" s="10"/>
      <c r="J67" s="4"/>
      <c r="K67" s="4">
        <v>-7.24</v>
      </c>
      <c r="L67" s="4">
        <v>5</v>
      </c>
      <c r="M67" s="4">
        <v>30846</v>
      </c>
      <c r="N67" s="4">
        <v>8097</v>
      </c>
      <c r="O67" s="4">
        <v>57.76</v>
      </c>
      <c r="P67" s="4">
        <v>0.85</v>
      </c>
      <c r="Q67" s="4">
        <v>19.14</v>
      </c>
      <c r="R67" s="10">
        <v>6.281</v>
      </c>
      <c r="S67" s="4">
        <v>0.11</v>
      </c>
      <c r="T67" s="4">
        <v>3.45</v>
      </c>
      <c r="U67" s="4">
        <v>6.27</v>
      </c>
      <c r="V67" s="4">
        <v>4.31</v>
      </c>
      <c r="W67" s="10">
        <v>1.79</v>
      </c>
      <c r="X67" s="4">
        <v>0.2</v>
      </c>
      <c r="Y67" s="9">
        <v>100.161</v>
      </c>
      <c r="Z67" s="6" t="s">
        <v>573</v>
      </c>
      <c r="AA67"/>
    </row>
    <row r="68" spans="1:26" ht="12.75">
      <c r="A68">
        <v>64</v>
      </c>
      <c r="B68" s="4" t="s">
        <v>168</v>
      </c>
      <c r="C68" s="4" t="s">
        <v>458</v>
      </c>
      <c r="D68" s="4" t="s">
        <v>130</v>
      </c>
      <c r="E68" s="4" t="s">
        <v>322</v>
      </c>
      <c r="F68" s="4">
        <v>0.0001</v>
      </c>
      <c r="K68" s="4">
        <v>-8.55</v>
      </c>
      <c r="L68" s="4">
        <v>1.1</v>
      </c>
      <c r="M68" s="4">
        <v>29267</v>
      </c>
      <c r="N68" s="4">
        <v>1278</v>
      </c>
      <c r="O68" s="4">
        <v>59.86</v>
      </c>
      <c r="Q68" s="4">
        <v>25.52</v>
      </c>
      <c r="R68" s="10">
        <v>0.023</v>
      </c>
      <c r="S68" s="4">
        <v>0.021</v>
      </c>
      <c r="T68" s="4">
        <v>0.004</v>
      </c>
      <c r="U68" s="4">
        <v>0.018</v>
      </c>
      <c r="V68" s="4">
        <v>14.58</v>
      </c>
      <c r="W68" s="10">
        <v>0.022</v>
      </c>
      <c r="Y68" s="4">
        <f>SUM(O68:X68)</f>
        <v>100.048</v>
      </c>
      <c r="Z68" s="6" t="s">
        <v>529</v>
      </c>
    </row>
    <row r="69" spans="1:26" ht="12.75">
      <c r="A69">
        <v>65</v>
      </c>
      <c r="B69" s="4" t="s">
        <v>101</v>
      </c>
      <c r="C69" s="4" t="s">
        <v>458</v>
      </c>
      <c r="D69" s="4" t="s">
        <v>83</v>
      </c>
      <c r="E69" s="4" t="s">
        <v>177</v>
      </c>
      <c r="F69" s="4">
        <v>0.0001</v>
      </c>
      <c r="K69" s="4">
        <v>-11.47</v>
      </c>
      <c r="L69" s="4">
        <v>2.17</v>
      </c>
      <c r="M69" s="4">
        <v>20326</v>
      </c>
      <c r="N69" s="4">
        <v>2278</v>
      </c>
      <c r="O69" s="4">
        <v>64.62</v>
      </c>
      <c r="Q69" s="9">
        <v>18.25</v>
      </c>
      <c r="R69" s="10"/>
      <c r="V69" s="4">
        <v>0.15</v>
      </c>
      <c r="W69" s="10">
        <v>16.5</v>
      </c>
      <c r="Y69" s="4">
        <v>99.52</v>
      </c>
      <c r="Z69" s="6" t="s">
        <v>525</v>
      </c>
    </row>
    <row r="70" spans="1:27" ht="12.75">
      <c r="A70">
        <v>66</v>
      </c>
      <c r="B70" s="4" t="s">
        <v>104</v>
      </c>
      <c r="C70" s="4" t="s">
        <v>458</v>
      </c>
      <c r="D70" s="4" t="s">
        <v>130</v>
      </c>
      <c r="E70" s="4" t="s">
        <v>241</v>
      </c>
      <c r="F70" s="4">
        <v>0.0001</v>
      </c>
      <c r="I70" s="10">
        <v>0.071</v>
      </c>
      <c r="K70" s="4">
        <v>-13.48</v>
      </c>
      <c r="L70" s="4">
        <v>5.47</v>
      </c>
      <c r="M70" s="4">
        <v>15198</v>
      </c>
      <c r="N70" s="4">
        <v>6753</v>
      </c>
      <c r="O70" s="4">
        <v>66.15</v>
      </c>
      <c r="Q70" s="4">
        <v>9.62</v>
      </c>
      <c r="R70" s="9"/>
      <c r="V70" s="4">
        <v>20.59</v>
      </c>
      <c r="W70" s="4">
        <v>3.64</v>
      </c>
      <c r="Y70" s="9">
        <v>100</v>
      </c>
      <c r="Z70" s="15" t="s">
        <v>435</v>
      </c>
      <c r="AA70" s="2"/>
    </row>
    <row r="71" spans="1:26" ht="12.75">
      <c r="A71">
        <v>67</v>
      </c>
      <c r="B71" s="4" t="s">
        <v>113</v>
      </c>
      <c r="C71" s="4" t="s">
        <v>458</v>
      </c>
      <c r="D71" s="4" t="s">
        <v>83</v>
      </c>
      <c r="E71" s="4" t="s">
        <v>178</v>
      </c>
      <c r="F71" s="4">
        <v>0.0001</v>
      </c>
      <c r="K71" s="4">
        <v>-10.78</v>
      </c>
      <c r="L71" s="4">
        <v>8.44</v>
      </c>
      <c r="M71" s="4">
        <v>26277</v>
      </c>
      <c r="N71" s="4">
        <v>13684</v>
      </c>
      <c r="O71" s="4">
        <v>69</v>
      </c>
      <c r="P71" s="4">
        <v>1.02</v>
      </c>
      <c r="Q71" s="4">
        <v>13.11</v>
      </c>
      <c r="R71" s="9">
        <v>5.3</v>
      </c>
      <c r="S71" s="4">
        <v>0.13</v>
      </c>
      <c r="T71" s="4">
        <v>1</v>
      </c>
      <c r="U71" s="4">
        <v>2.7</v>
      </c>
      <c r="V71" s="4">
        <v>4.21</v>
      </c>
      <c r="W71" s="4">
        <v>2.72</v>
      </c>
      <c r="X71" s="4">
        <v>0.24</v>
      </c>
      <c r="Y71" s="9">
        <v>99.43</v>
      </c>
      <c r="Z71" s="15" t="s">
        <v>531</v>
      </c>
    </row>
    <row r="72" spans="1:26" ht="12.75">
      <c r="A72">
        <v>68</v>
      </c>
      <c r="B72" s="4" t="s">
        <v>112</v>
      </c>
      <c r="C72" s="4" t="s">
        <v>458</v>
      </c>
      <c r="D72" s="4" t="s">
        <v>83</v>
      </c>
      <c r="E72" s="4" t="s">
        <v>315</v>
      </c>
      <c r="F72" s="4">
        <v>0.0001</v>
      </c>
      <c r="K72" s="4">
        <v>-3.98</v>
      </c>
      <c r="L72" s="4">
        <v>0.9</v>
      </c>
      <c r="M72" s="4">
        <v>34052</v>
      </c>
      <c r="N72" s="4">
        <v>1022</v>
      </c>
      <c r="O72" s="4">
        <v>69</v>
      </c>
      <c r="Q72" s="9">
        <v>20.44</v>
      </c>
      <c r="R72" s="10"/>
      <c r="V72" s="4">
        <v>10.9</v>
      </c>
      <c r="W72" s="10"/>
      <c r="Y72" s="4">
        <v>100.34</v>
      </c>
      <c r="Z72" s="6" t="s">
        <v>525</v>
      </c>
    </row>
    <row r="73" spans="1:26" ht="12.75">
      <c r="A73">
        <v>69</v>
      </c>
      <c r="B73" s="4" t="s">
        <v>112</v>
      </c>
      <c r="C73" s="4" t="s">
        <v>458</v>
      </c>
      <c r="D73" s="4" t="s">
        <v>130</v>
      </c>
      <c r="E73" s="4" t="s">
        <v>239</v>
      </c>
      <c r="F73" s="4">
        <v>0.0001</v>
      </c>
      <c r="K73" s="4">
        <v>-7.13</v>
      </c>
      <c r="L73" s="4" t="s">
        <v>256</v>
      </c>
      <c r="M73" s="4">
        <v>31949</v>
      </c>
      <c r="N73" s="4" t="s">
        <v>256</v>
      </c>
      <c r="O73" s="4">
        <v>69.1</v>
      </c>
      <c r="Q73" s="4">
        <v>19.33</v>
      </c>
      <c r="R73" s="10"/>
      <c r="V73" s="4">
        <v>11.74</v>
      </c>
      <c r="W73" s="10">
        <v>0.022</v>
      </c>
      <c r="Y73" s="4">
        <f>SUM(O73:X73)</f>
        <v>100.192</v>
      </c>
      <c r="Z73" s="6" t="s">
        <v>529</v>
      </c>
    </row>
    <row r="74" spans="1:26" ht="12.75">
      <c r="A74">
        <v>70</v>
      </c>
      <c r="B74" s="4" t="s">
        <v>114</v>
      </c>
      <c r="C74" s="4" t="s">
        <v>458</v>
      </c>
      <c r="D74" s="4" t="s">
        <v>83</v>
      </c>
      <c r="E74" s="4" t="s">
        <v>337</v>
      </c>
      <c r="F74" s="4">
        <v>0.0001</v>
      </c>
      <c r="K74" s="4">
        <v>4.65</v>
      </c>
      <c r="L74" s="4">
        <v>11.12</v>
      </c>
      <c r="M74" s="4">
        <v>48083</v>
      </c>
      <c r="N74" s="4">
        <v>16959</v>
      </c>
      <c r="O74" s="4">
        <v>69.2</v>
      </c>
      <c r="P74" s="4">
        <v>0.44</v>
      </c>
      <c r="Q74" s="4">
        <v>10.75</v>
      </c>
      <c r="R74" s="9">
        <v>8.5</v>
      </c>
      <c r="S74" s="4">
        <v>0.3</v>
      </c>
      <c r="T74" s="4">
        <v>0.11</v>
      </c>
      <c r="U74" s="4">
        <v>0.56</v>
      </c>
      <c r="V74" s="4">
        <v>6.32</v>
      </c>
      <c r="W74" s="4">
        <v>4.14</v>
      </c>
      <c r="X74" s="4">
        <v>0.02</v>
      </c>
      <c r="Y74" s="9">
        <v>100.34</v>
      </c>
      <c r="Z74" s="15" t="s">
        <v>531</v>
      </c>
    </row>
    <row r="75" spans="1:27" s="25" customFormat="1" ht="12.75">
      <c r="A75">
        <v>71</v>
      </c>
      <c r="B75" s="4" t="s">
        <v>120</v>
      </c>
      <c r="C75" s="4" t="s">
        <v>411</v>
      </c>
      <c r="D75" s="4" t="s">
        <v>83</v>
      </c>
      <c r="E75" s="4" t="s">
        <v>591</v>
      </c>
      <c r="F75" s="4">
        <v>0.0001</v>
      </c>
      <c r="G75" s="4"/>
      <c r="H75" s="4"/>
      <c r="I75" s="10"/>
      <c r="J75" s="10"/>
      <c r="K75" s="4">
        <v>-11.49</v>
      </c>
      <c r="L75" s="4">
        <v>2.21</v>
      </c>
      <c r="M75" s="4">
        <v>25271</v>
      </c>
      <c r="N75" s="4">
        <v>2260</v>
      </c>
      <c r="O75" s="4">
        <v>73.01</v>
      </c>
      <c r="P75" s="4">
        <v>0.2</v>
      </c>
      <c r="Q75" s="4">
        <v>12.57</v>
      </c>
      <c r="R75" s="9">
        <v>2.71</v>
      </c>
      <c r="S75" s="4">
        <v>0.05</v>
      </c>
      <c r="T75" s="4">
        <v>0.54</v>
      </c>
      <c r="U75" s="4">
        <v>0.41</v>
      </c>
      <c r="V75" s="4">
        <v>5.05</v>
      </c>
      <c r="W75" s="4">
        <v>4.6</v>
      </c>
      <c r="X75" s="4"/>
      <c r="Y75" s="9">
        <f>SUM(O75:X75)</f>
        <v>99.13999999999999</v>
      </c>
      <c r="Z75" s="6" t="s">
        <v>508</v>
      </c>
      <c r="AA75"/>
    </row>
    <row r="76" spans="1:27" s="25" customFormat="1" ht="12.75">
      <c r="A76">
        <v>72</v>
      </c>
      <c r="B76" s="4" t="s">
        <v>126</v>
      </c>
      <c r="C76" s="4" t="s">
        <v>411</v>
      </c>
      <c r="D76" s="4" t="s">
        <v>83</v>
      </c>
      <c r="E76" s="4" t="s">
        <v>408</v>
      </c>
      <c r="F76" s="4">
        <v>0.0001</v>
      </c>
      <c r="G76" s="4"/>
      <c r="H76" s="4"/>
      <c r="I76" s="10">
        <v>0.11</v>
      </c>
      <c r="J76" s="4"/>
      <c r="K76" s="4">
        <v>-10.86</v>
      </c>
      <c r="L76" s="4">
        <v>1.81</v>
      </c>
      <c r="M76" s="4">
        <v>27764</v>
      </c>
      <c r="N76" s="4">
        <v>2.26</v>
      </c>
      <c r="O76" s="4">
        <v>76.87</v>
      </c>
      <c r="P76" s="4">
        <v>0.07</v>
      </c>
      <c r="Q76" s="4">
        <v>12.2</v>
      </c>
      <c r="R76" s="9">
        <v>0.94</v>
      </c>
      <c r="S76" s="4">
        <v>0.05</v>
      </c>
      <c r="T76" s="4">
        <v>0.05</v>
      </c>
      <c r="U76" s="4">
        <v>0.3</v>
      </c>
      <c r="V76" s="4">
        <v>4.38</v>
      </c>
      <c r="W76" s="4">
        <v>4.4</v>
      </c>
      <c r="X76" s="4"/>
      <c r="Y76" s="9">
        <f>SUM(O76:X76)</f>
        <v>99.25999999999999</v>
      </c>
      <c r="Z76" s="6" t="s">
        <v>508</v>
      </c>
      <c r="AA76"/>
    </row>
    <row r="77" spans="1:26" ht="12.75">
      <c r="A77">
        <v>73</v>
      </c>
      <c r="B77" s="4" t="s">
        <v>128</v>
      </c>
      <c r="C77" s="4" t="s">
        <v>609</v>
      </c>
      <c r="D77" s="4" t="s">
        <v>130</v>
      </c>
      <c r="E77" s="4" t="s">
        <v>401</v>
      </c>
      <c r="F77" s="4">
        <v>0.0001</v>
      </c>
      <c r="I77" s="10">
        <v>0.076</v>
      </c>
      <c r="K77" s="4">
        <v>-12.89</v>
      </c>
      <c r="L77" s="4">
        <v>1.98</v>
      </c>
      <c r="M77" s="4">
        <v>25040</v>
      </c>
      <c r="N77" s="4">
        <v>3270</v>
      </c>
      <c r="O77" s="4">
        <v>79.425</v>
      </c>
      <c r="Q77" s="4">
        <v>11.64</v>
      </c>
      <c r="R77" s="9"/>
      <c r="V77" s="4">
        <v>4.77</v>
      </c>
      <c r="W77" s="4">
        <v>4.165</v>
      </c>
      <c r="Y77" s="9">
        <v>100</v>
      </c>
      <c r="Z77" s="15" t="s">
        <v>435</v>
      </c>
    </row>
    <row r="78" spans="1:26" ht="12.75">
      <c r="A78">
        <v>74</v>
      </c>
      <c r="B78" s="4" t="s">
        <v>129</v>
      </c>
      <c r="C78" s="4" t="s">
        <v>458</v>
      </c>
      <c r="D78" s="4" t="s">
        <v>130</v>
      </c>
      <c r="E78" s="4" t="s">
        <v>493</v>
      </c>
      <c r="F78" s="4">
        <v>1</v>
      </c>
      <c r="I78" s="10">
        <v>3.64</v>
      </c>
      <c r="K78" s="4">
        <v>-15.03</v>
      </c>
      <c r="L78" s="4" t="s">
        <v>256</v>
      </c>
      <c r="M78" s="4">
        <v>15153</v>
      </c>
      <c r="N78" s="4" t="s">
        <v>256</v>
      </c>
      <c r="O78" s="4">
        <v>79.425</v>
      </c>
      <c r="Q78" s="4">
        <v>11.64</v>
      </c>
      <c r="R78" s="9"/>
      <c r="V78" s="4">
        <v>4.77</v>
      </c>
      <c r="W78" s="4">
        <v>4.165</v>
      </c>
      <c r="Y78" s="9">
        <v>100</v>
      </c>
      <c r="Z78" s="15" t="s">
        <v>435</v>
      </c>
    </row>
    <row r="79" spans="1:26" ht="12.75">
      <c r="A79">
        <v>75</v>
      </c>
      <c r="B79" s="4" t="s">
        <v>95</v>
      </c>
      <c r="C79" s="4" t="s">
        <v>458</v>
      </c>
      <c r="D79" s="4" t="s">
        <v>83</v>
      </c>
      <c r="E79" s="4" t="s">
        <v>605</v>
      </c>
      <c r="F79" s="4">
        <v>0.0001</v>
      </c>
      <c r="K79" s="4">
        <v>-11.98</v>
      </c>
      <c r="L79" s="4">
        <f>2*0.495251</f>
        <v>0.990502</v>
      </c>
      <c r="M79" s="4">
        <v>26406</v>
      </c>
      <c r="N79" s="4">
        <f>2*664.7</f>
        <v>1329.4</v>
      </c>
      <c r="R79" s="9"/>
      <c r="Y79" s="9"/>
      <c r="Z79" s="6" t="s">
        <v>151</v>
      </c>
    </row>
    <row r="80" spans="1:26" ht="12.75">
      <c r="A80">
        <v>76</v>
      </c>
      <c r="B80" s="4" t="s">
        <v>96</v>
      </c>
      <c r="K80" s="11" t="s">
        <v>36</v>
      </c>
      <c r="R80" s="9"/>
      <c r="Y80" s="9"/>
      <c r="Z80" s="6" t="s">
        <v>38</v>
      </c>
    </row>
    <row r="81" spans="1:26" ht="12.75">
      <c r="A81">
        <v>77</v>
      </c>
      <c r="R81" s="9"/>
      <c r="Y81" s="9"/>
      <c r="Z81" s="15"/>
    </row>
    <row r="82" spans="1:27" ht="12.75">
      <c r="A82">
        <v>78</v>
      </c>
      <c r="B82" s="4" t="s">
        <v>104</v>
      </c>
      <c r="C82" s="4" t="s">
        <v>338</v>
      </c>
      <c r="D82" s="4" t="s">
        <v>130</v>
      </c>
      <c r="E82" s="4" t="s">
        <v>241</v>
      </c>
      <c r="F82" s="4">
        <v>0.0001</v>
      </c>
      <c r="I82" s="10">
        <v>0.071</v>
      </c>
      <c r="K82" s="4">
        <v>-7.9</v>
      </c>
      <c r="L82" s="4">
        <v>5.05</v>
      </c>
      <c r="M82" s="4">
        <v>27560</v>
      </c>
      <c r="N82" s="4">
        <v>6232</v>
      </c>
      <c r="O82" s="4">
        <v>66.15</v>
      </c>
      <c r="Q82" s="4">
        <v>9.62</v>
      </c>
      <c r="R82" s="9"/>
      <c r="V82" s="4">
        <v>20.59</v>
      </c>
      <c r="W82" s="4">
        <v>3.64</v>
      </c>
      <c r="Y82" s="9">
        <v>100</v>
      </c>
      <c r="Z82" s="15" t="s">
        <v>435</v>
      </c>
      <c r="AA82" s="2"/>
    </row>
    <row r="83" spans="1:26" ht="12.75">
      <c r="A83">
        <v>79</v>
      </c>
      <c r="B83" s="4" t="s">
        <v>128</v>
      </c>
      <c r="C83" s="4" t="s">
        <v>461</v>
      </c>
      <c r="D83" s="4" t="s">
        <v>130</v>
      </c>
      <c r="E83" s="4" t="s">
        <v>401</v>
      </c>
      <c r="F83" s="4">
        <v>0.0001</v>
      </c>
      <c r="I83" s="10">
        <v>0.076</v>
      </c>
      <c r="K83" s="4">
        <v>-8.38</v>
      </c>
      <c r="L83" s="4">
        <v>2.62</v>
      </c>
      <c r="M83" s="4">
        <v>38690</v>
      </c>
      <c r="N83" s="4">
        <v>4236</v>
      </c>
      <c r="O83" s="4">
        <v>79.425</v>
      </c>
      <c r="Q83" s="4">
        <v>11.64</v>
      </c>
      <c r="R83" s="9"/>
      <c r="V83" s="4">
        <v>4.77</v>
      </c>
      <c r="W83" s="4">
        <v>4.165</v>
      </c>
      <c r="Y83" s="9">
        <v>100</v>
      </c>
      <c r="Z83" s="15" t="s">
        <v>435</v>
      </c>
    </row>
    <row r="84" spans="1:26" ht="12.75">
      <c r="A84">
        <v>80</v>
      </c>
      <c r="B84" s="4" t="s">
        <v>129</v>
      </c>
      <c r="C84" s="4" t="s">
        <v>338</v>
      </c>
      <c r="D84" s="4" t="s">
        <v>130</v>
      </c>
      <c r="E84" s="4" t="s">
        <v>493</v>
      </c>
      <c r="F84" s="4">
        <v>1</v>
      </c>
      <c r="I84" s="10">
        <v>3.64</v>
      </c>
      <c r="K84" s="4">
        <v>-14.82</v>
      </c>
      <c r="L84" s="4" t="s">
        <v>256</v>
      </c>
      <c r="M84" s="4">
        <v>18094</v>
      </c>
      <c r="N84" s="4" t="s">
        <v>256</v>
      </c>
      <c r="O84" s="4">
        <v>79.425</v>
      </c>
      <c r="Q84" s="4">
        <v>11.64</v>
      </c>
      <c r="R84" s="9"/>
      <c r="V84" s="4">
        <v>4.77</v>
      </c>
      <c r="W84" s="4">
        <v>4.165</v>
      </c>
      <c r="Y84" s="9">
        <v>100</v>
      </c>
      <c r="Z84" s="15" t="s">
        <v>435</v>
      </c>
    </row>
    <row r="85" ht="12.75">
      <c r="A85">
        <v>81</v>
      </c>
    </row>
    <row r="86" spans="1:26" ht="12.75">
      <c r="A86">
        <v>82</v>
      </c>
      <c r="B86" s="4" t="s">
        <v>452</v>
      </c>
      <c r="C86" s="4" t="s">
        <v>459</v>
      </c>
      <c r="D86" s="4" t="s">
        <v>66</v>
      </c>
      <c r="E86" s="4" t="s">
        <v>240</v>
      </c>
      <c r="F86" s="4">
        <v>0.0001</v>
      </c>
      <c r="K86" s="4">
        <v>-0.25</v>
      </c>
      <c r="L86" s="4">
        <v>3.54</v>
      </c>
      <c r="M86" s="4">
        <v>41241</v>
      </c>
      <c r="N86" s="4">
        <v>5996</v>
      </c>
      <c r="O86" s="4">
        <v>43.71</v>
      </c>
      <c r="Q86" s="4">
        <v>32.29</v>
      </c>
      <c r="T86" s="4">
        <v>11.69</v>
      </c>
      <c r="U86" s="4">
        <v>12.76</v>
      </c>
      <c r="Y86" s="4">
        <v>100.55</v>
      </c>
      <c r="Z86" s="14" t="s">
        <v>457</v>
      </c>
    </row>
    <row r="87" spans="1:26" ht="12.75">
      <c r="A87">
        <v>83</v>
      </c>
      <c r="B87" s="4" t="s">
        <v>154</v>
      </c>
      <c r="C87" s="4" t="s">
        <v>459</v>
      </c>
      <c r="D87" s="4" t="s">
        <v>66</v>
      </c>
      <c r="E87" s="4" t="s">
        <v>250</v>
      </c>
      <c r="F87" s="4">
        <v>0.0001</v>
      </c>
      <c r="G87" s="4" t="s">
        <v>249</v>
      </c>
      <c r="K87" s="4">
        <v>-10.71</v>
      </c>
      <c r="L87" s="4">
        <v>0.99</v>
      </c>
      <c r="M87" s="4">
        <v>21057</v>
      </c>
      <c r="N87" s="4">
        <v>1683</v>
      </c>
      <c r="O87" s="4">
        <v>47.6</v>
      </c>
      <c r="Q87" s="4">
        <v>16.4</v>
      </c>
      <c r="T87" s="4">
        <v>16.9</v>
      </c>
      <c r="U87" s="4">
        <v>19.4</v>
      </c>
      <c r="Y87" s="4">
        <v>100.3</v>
      </c>
      <c r="Z87" s="14" t="s">
        <v>307</v>
      </c>
    </row>
    <row r="88" spans="1:27" ht="12.75">
      <c r="A88">
        <v>84</v>
      </c>
      <c r="B88" s="4" t="s">
        <v>80</v>
      </c>
      <c r="C88" s="4" t="s">
        <v>459</v>
      </c>
      <c r="D88" s="4" t="s">
        <v>581</v>
      </c>
      <c r="E88" s="4" t="s">
        <v>442</v>
      </c>
      <c r="F88" s="4" t="s">
        <v>585</v>
      </c>
      <c r="I88" s="10" t="s">
        <v>382</v>
      </c>
      <c r="K88" s="4">
        <v>-7.92</v>
      </c>
      <c r="L88" s="4">
        <v>1.5</v>
      </c>
      <c r="M88" s="4">
        <v>26222</v>
      </c>
      <c r="N88" s="4">
        <v>2470</v>
      </c>
      <c r="O88" s="4">
        <v>50.23</v>
      </c>
      <c r="P88" s="4">
        <v>1.94</v>
      </c>
      <c r="Q88" s="4">
        <v>13.61</v>
      </c>
      <c r="R88" s="4">
        <v>12.06</v>
      </c>
      <c r="S88" s="4">
        <v>0.22</v>
      </c>
      <c r="T88" s="4">
        <v>7.05</v>
      </c>
      <c r="U88" s="4">
        <v>10.75</v>
      </c>
      <c r="V88" s="4">
        <v>2.73</v>
      </c>
      <c r="W88" s="4">
        <v>0.17</v>
      </c>
      <c r="X88" s="4">
        <v>0.1</v>
      </c>
      <c r="Y88" s="4">
        <v>98.86</v>
      </c>
      <c r="Z88" s="14" t="s">
        <v>534</v>
      </c>
      <c r="AA88" s="4" t="s">
        <v>5</v>
      </c>
    </row>
    <row r="89" spans="1:27" ht="12.75">
      <c r="A89">
        <v>85</v>
      </c>
      <c r="B89" s="4" t="s">
        <v>78</v>
      </c>
      <c r="C89" s="4" t="s">
        <v>459</v>
      </c>
      <c r="D89" s="4" t="s">
        <v>581</v>
      </c>
      <c r="E89" s="4" t="s">
        <v>248</v>
      </c>
      <c r="F89" s="4" t="s">
        <v>618</v>
      </c>
      <c r="I89" s="10" t="s">
        <v>382</v>
      </c>
      <c r="K89" s="4">
        <v>-6.65</v>
      </c>
      <c r="L89" s="4">
        <v>1.46</v>
      </c>
      <c r="M89" s="4">
        <v>28922</v>
      </c>
      <c r="N89" s="4">
        <v>2420</v>
      </c>
      <c r="O89" s="4">
        <v>50.23</v>
      </c>
      <c r="P89" s="4">
        <v>1.94</v>
      </c>
      <c r="Q89" s="4">
        <v>13.61</v>
      </c>
      <c r="R89" s="4">
        <v>12.06</v>
      </c>
      <c r="S89" s="4">
        <v>0.22</v>
      </c>
      <c r="T89" s="4">
        <v>7.05</v>
      </c>
      <c r="U89" s="4">
        <v>10.75</v>
      </c>
      <c r="V89" s="4">
        <v>2.73</v>
      </c>
      <c r="W89" s="4">
        <v>0.17</v>
      </c>
      <c r="X89" s="4">
        <v>0.1</v>
      </c>
      <c r="Y89" s="4">
        <v>98.86</v>
      </c>
      <c r="Z89" s="14" t="s">
        <v>534</v>
      </c>
      <c r="AA89" s="4" t="s">
        <v>5</v>
      </c>
    </row>
    <row r="90" spans="1:27" ht="12.75">
      <c r="A90">
        <v>86</v>
      </c>
      <c r="B90" s="4" t="s">
        <v>79</v>
      </c>
      <c r="C90" s="4" t="s">
        <v>459</v>
      </c>
      <c r="D90" s="4" t="s">
        <v>581</v>
      </c>
      <c r="E90" s="4" t="s">
        <v>416</v>
      </c>
      <c r="F90" s="4" t="s">
        <v>586</v>
      </c>
      <c r="K90" s="4">
        <v>-3.53</v>
      </c>
      <c r="L90" s="4">
        <v>3.96</v>
      </c>
      <c r="M90" s="4">
        <v>35049</v>
      </c>
      <c r="N90" s="4">
        <v>6283</v>
      </c>
      <c r="O90" s="4">
        <v>56.3</v>
      </c>
      <c r="P90" s="4">
        <v>1.21</v>
      </c>
      <c r="Q90" s="4">
        <v>17.85</v>
      </c>
      <c r="R90" s="4">
        <v>6.87</v>
      </c>
      <c r="S90" s="4">
        <v>0.1285</v>
      </c>
      <c r="T90" s="4">
        <v>3.945</v>
      </c>
      <c r="U90" s="4">
        <v>7.62</v>
      </c>
      <c r="V90" s="4">
        <v>3.805</v>
      </c>
      <c r="W90" s="4">
        <v>1.7</v>
      </c>
      <c r="X90" s="4">
        <v>0.385</v>
      </c>
      <c r="Y90" s="4">
        <v>99.81350000000003</v>
      </c>
      <c r="Z90" s="14" t="s">
        <v>549</v>
      </c>
      <c r="AA90" s="4" t="s">
        <v>5</v>
      </c>
    </row>
    <row r="91" spans="1:27" ht="12.75">
      <c r="A91">
        <v>87</v>
      </c>
      <c r="B91" s="4" t="s">
        <v>77</v>
      </c>
      <c r="C91" s="4" t="s">
        <v>459</v>
      </c>
      <c r="D91" s="4" t="s">
        <v>581</v>
      </c>
      <c r="E91" s="4" t="s">
        <v>371</v>
      </c>
      <c r="F91" s="4" t="s">
        <v>587</v>
      </c>
      <c r="K91" s="4">
        <v>-3.1</v>
      </c>
      <c r="L91" s="4">
        <v>9.98</v>
      </c>
      <c r="M91" s="4">
        <v>36036</v>
      </c>
      <c r="N91" s="4">
        <v>16010</v>
      </c>
      <c r="O91" s="4">
        <v>56.3</v>
      </c>
      <c r="P91" s="4">
        <v>1.21</v>
      </c>
      <c r="Q91" s="4">
        <v>17.85</v>
      </c>
      <c r="R91" s="4">
        <v>6.87</v>
      </c>
      <c r="S91" s="4">
        <v>0.1285</v>
      </c>
      <c r="T91" s="4">
        <v>3.945</v>
      </c>
      <c r="U91" s="4">
        <v>7.62</v>
      </c>
      <c r="V91" s="4">
        <v>3.805</v>
      </c>
      <c r="W91" s="4">
        <v>1.7</v>
      </c>
      <c r="X91" s="4">
        <v>0.385</v>
      </c>
      <c r="Y91" s="4">
        <v>99.81350000000003</v>
      </c>
      <c r="Z91" s="14" t="s">
        <v>549</v>
      </c>
      <c r="AA91" s="4" t="s">
        <v>5</v>
      </c>
    </row>
    <row r="92" spans="1:26" ht="12.75">
      <c r="A92">
        <v>88</v>
      </c>
      <c r="B92" s="4" t="s">
        <v>168</v>
      </c>
      <c r="C92" s="4" t="s">
        <v>459</v>
      </c>
      <c r="D92" s="4" t="s">
        <v>83</v>
      </c>
      <c r="E92" s="4" t="s">
        <v>322</v>
      </c>
      <c r="F92" s="4">
        <v>0.0001</v>
      </c>
      <c r="K92" s="4">
        <v>-10.62</v>
      </c>
      <c r="L92" s="4">
        <v>1.54</v>
      </c>
      <c r="M92" s="4">
        <v>25615</v>
      </c>
      <c r="N92" s="4">
        <v>1799</v>
      </c>
      <c r="O92" s="4">
        <v>59.86</v>
      </c>
      <c r="Q92" s="4">
        <v>25.52</v>
      </c>
      <c r="R92" s="10">
        <v>0.023</v>
      </c>
      <c r="S92" s="4">
        <v>0.021</v>
      </c>
      <c r="T92" s="4">
        <v>0.004</v>
      </c>
      <c r="U92" s="4">
        <v>0.018</v>
      </c>
      <c r="V92" s="4">
        <v>14.58</v>
      </c>
      <c r="W92" s="10">
        <v>0.022</v>
      </c>
      <c r="Y92" s="4">
        <f>SUM(O92:X92)</f>
        <v>100.048</v>
      </c>
      <c r="Z92" s="6" t="s">
        <v>529</v>
      </c>
    </row>
    <row r="93" spans="1:27" ht="12.75">
      <c r="A93">
        <v>89</v>
      </c>
      <c r="B93" s="4" t="s">
        <v>104</v>
      </c>
      <c r="C93" s="4" t="s">
        <v>459</v>
      </c>
      <c r="D93" s="4" t="s">
        <v>130</v>
      </c>
      <c r="E93" s="4" t="s">
        <v>241</v>
      </c>
      <c r="F93" s="4">
        <v>0.0001</v>
      </c>
      <c r="I93" s="10">
        <v>0.071</v>
      </c>
      <c r="K93" s="4">
        <v>-12.12</v>
      </c>
      <c r="L93" s="4">
        <v>0.87</v>
      </c>
      <c r="M93" s="4">
        <v>20701</v>
      </c>
      <c r="N93" s="4">
        <v>1067</v>
      </c>
      <c r="O93" s="4">
        <v>66.15</v>
      </c>
      <c r="Q93" s="4">
        <v>9.62</v>
      </c>
      <c r="R93" s="9"/>
      <c r="V93" s="4">
        <v>20.59</v>
      </c>
      <c r="W93" s="4">
        <v>3.64</v>
      </c>
      <c r="Y93" s="9">
        <v>100</v>
      </c>
      <c r="Z93" s="15" t="s">
        <v>435</v>
      </c>
      <c r="AA93" s="2"/>
    </row>
    <row r="94" spans="1:26" ht="12.75">
      <c r="A94">
        <v>90</v>
      </c>
      <c r="B94" s="4" t="s">
        <v>112</v>
      </c>
      <c r="C94" s="4" t="s">
        <v>459</v>
      </c>
      <c r="D94" s="4" t="s">
        <v>83</v>
      </c>
      <c r="E94" s="4" t="s">
        <v>322</v>
      </c>
      <c r="F94" s="4">
        <v>0.0001</v>
      </c>
      <c r="K94" s="4">
        <v>-10.09</v>
      </c>
      <c r="L94" s="4">
        <v>3.01</v>
      </c>
      <c r="M94" s="4">
        <v>28189</v>
      </c>
      <c r="N94" s="4">
        <v>3491</v>
      </c>
      <c r="O94" s="4">
        <v>69.1</v>
      </c>
      <c r="Q94" s="4">
        <v>19.33</v>
      </c>
      <c r="R94" s="10"/>
      <c r="V94" s="4">
        <v>11.74</v>
      </c>
      <c r="W94" s="10">
        <v>0.022</v>
      </c>
      <c r="Y94" s="4">
        <v>100.19</v>
      </c>
      <c r="Z94" s="6" t="s">
        <v>399</v>
      </c>
    </row>
    <row r="95" spans="1:26" ht="12.75">
      <c r="A95">
        <v>91</v>
      </c>
      <c r="B95" s="4" t="s">
        <v>128</v>
      </c>
      <c r="C95" s="4" t="s">
        <v>459</v>
      </c>
      <c r="D95" s="4" t="s">
        <v>130</v>
      </c>
      <c r="E95" s="4" t="s">
        <v>401</v>
      </c>
      <c r="F95" s="4">
        <v>0.0001</v>
      </c>
      <c r="I95" s="10">
        <v>0.076</v>
      </c>
      <c r="K95" s="4">
        <v>-11.77</v>
      </c>
      <c r="L95" s="4">
        <v>4.51</v>
      </c>
      <c r="M95" s="4">
        <v>29341</v>
      </c>
      <c r="N95" s="4">
        <v>7457</v>
      </c>
      <c r="O95" s="4">
        <v>79.425</v>
      </c>
      <c r="Q95" s="4">
        <v>11.64</v>
      </c>
      <c r="R95" s="9"/>
      <c r="V95" s="4">
        <v>4.77</v>
      </c>
      <c r="W95" s="4">
        <v>4.165</v>
      </c>
      <c r="Y95" s="9">
        <v>100</v>
      </c>
      <c r="Z95" s="15" t="s">
        <v>435</v>
      </c>
    </row>
    <row r="96" spans="1:26" ht="12.75">
      <c r="A96">
        <v>92</v>
      </c>
      <c r="B96" s="4" t="s">
        <v>129</v>
      </c>
      <c r="C96" s="4" t="s">
        <v>459</v>
      </c>
      <c r="D96" s="4" t="s">
        <v>130</v>
      </c>
      <c r="E96" s="4" t="s">
        <v>493</v>
      </c>
      <c r="F96" s="4">
        <v>1</v>
      </c>
      <c r="I96" s="10">
        <v>3.64</v>
      </c>
      <c r="K96" s="4">
        <v>-14.94</v>
      </c>
      <c r="L96" s="4" t="s">
        <v>256</v>
      </c>
      <c r="M96" s="4">
        <v>16963</v>
      </c>
      <c r="N96" s="4" t="s">
        <v>256</v>
      </c>
      <c r="O96" s="4">
        <v>79.425</v>
      </c>
      <c r="Q96" s="4">
        <v>11.64</v>
      </c>
      <c r="R96" s="9"/>
      <c r="V96" s="4">
        <v>4.77</v>
      </c>
      <c r="W96" s="4">
        <v>4.165</v>
      </c>
      <c r="Y96" s="9">
        <v>100</v>
      </c>
      <c r="Z96" s="15" t="s">
        <v>435</v>
      </c>
    </row>
    <row r="97" spans="1:26" ht="12.75">
      <c r="A97">
        <v>93</v>
      </c>
      <c r="B97" s="4" t="s">
        <v>379</v>
      </c>
      <c r="C97" s="4" t="s">
        <v>459</v>
      </c>
      <c r="D97" s="4" t="s">
        <v>67</v>
      </c>
      <c r="E97" s="4" t="s">
        <v>327</v>
      </c>
      <c r="F97" s="4" t="s">
        <v>415</v>
      </c>
      <c r="I97" s="10" t="s">
        <v>328</v>
      </c>
      <c r="K97" s="8" t="s">
        <v>361</v>
      </c>
      <c r="Z97" s="6" t="s">
        <v>151</v>
      </c>
    </row>
    <row r="98" spans="1:26" ht="12.75">
      <c r="A98">
        <v>94</v>
      </c>
      <c r="K98" s="8"/>
      <c r="Z98" s="6"/>
    </row>
    <row r="99" spans="1:26" ht="12.75">
      <c r="A99">
        <v>95</v>
      </c>
      <c r="B99" s="4" t="s">
        <v>154</v>
      </c>
      <c r="C99" s="4" t="s">
        <v>229</v>
      </c>
      <c r="D99" s="4" t="s">
        <v>66</v>
      </c>
      <c r="E99" s="4" t="s">
        <v>250</v>
      </c>
      <c r="F99" s="4">
        <v>0.0001</v>
      </c>
      <c r="K99" s="4">
        <v>-11.07</v>
      </c>
      <c r="L99" s="4">
        <f>2*1.546</f>
        <v>3.092</v>
      </c>
      <c r="M99" s="4">
        <v>20684</v>
      </c>
      <c r="N99" s="4">
        <f>2*2634.8</f>
        <v>5269.6</v>
      </c>
      <c r="O99" s="4">
        <v>47.7</v>
      </c>
      <c r="Q99" s="4">
        <v>16</v>
      </c>
      <c r="R99" s="10"/>
      <c r="T99" s="4">
        <v>16.4</v>
      </c>
      <c r="U99" s="4">
        <v>19.2</v>
      </c>
      <c r="W99" s="10"/>
      <c r="Y99" s="4">
        <v>99.3</v>
      </c>
      <c r="Z99" s="6" t="s">
        <v>532</v>
      </c>
    </row>
    <row r="100" spans="1:26" ht="12.75">
      <c r="A100">
        <v>96</v>
      </c>
      <c r="B100" s="4" t="s">
        <v>162</v>
      </c>
      <c r="C100" s="4" t="s">
        <v>475</v>
      </c>
      <c r="D100" s="4" t="s">
        <v>83</v>
      </c>
      <c r="E100" s="4" t="s">
        <v>440</v>
      </c>
      <c r="F100" s="4">
        <v>0.0001</v>
      </c>
      <c r="K100" s="4">
        <v>-10.52</v>
      </c>
      <c r="M100" s="4">
        <v>22142</v>
      </c>
      <c r="O100" s="9">
        <v>49.68</v>
      </c>
      <c r="P100" s="9">
        <v>2.59</v>
      </c>
      <c r="Q100" s="9">
        <v>12.7</v>
      </c>
      <c r="R100" s="10">
        <v>11.05</v>
      </c>
      <c r="S100" s="10">
        <v>0.17</v>
      </c>
      <c r="T100" s="10">
        <v>9.46</v>
      </c>
      <c r="U100" s="10">
        <v>10.79</v>
      </c>
      <c r="V100" s="9">
        <v>2.31</v>
      </c>
      <c r="W100" s="4">
        <v>0.48</v>
      </c>
      <c r="Y100" s="4">
        <v>99.3</v>
      </c>
      <c r="Z100" s="14" t="s">
        <v>207</v>
      </c>
    </row>
    <row r="101" spans="1:26" ht="12.75">
      <c r="A101">
        <v>97</v>
      </c>
      <c r="B101" s="4" t="s">
        <v>78</v>
      </c>
      <c r="C101" s="4" t="s">
        <v>500</v>
      </c>
      <c r="D101" s="4" t="s">
        <v>581</v>
      </c>
      <c r="E101" s="4" t="s">
        <v>248</v>
      </c>
      <c r="F101" s="4" t="s">
        <v>305</v>
      </c>
      <c r="I101" s="10" t="s">
        <v>382</v>
      </c>
      <c r="K101" s="4">
        <v>-10.52</v>
      </c>
      <c r="L101" s="4">
        <f>2*0.9</f>
        <v>1.8</v>
      </c>
      <c r="M101" s="4">
        <v>21204</v>
      </c>
      <c r="N101" s="4">
        <f>2*1473</f>
        <v>2946</v>
      </c>
      <c r="O101" s="3">
        <v>50.88514428571429</v>
      </c>
      <c r="P101" s="3">
        <v>1.6787785714285715</v>
      </c>
      <c r="Q101" s="3">
        <v>11.853182857142857</v>
      </c>
      <c r="R101" s="3">
        <v>11.37854357142857</v>
      </c>
      <c r="S101" s="3">
        <v>0.20846071428571428</v>
      </c>
      <c r="T101" s="3">
        <v>8.17966</v>
      </c>
      <c r="U101" s="3">
        <v>12.216015714285714</v>
      </c>
      <c r="V101" s="3">
        <v>2.3962364285714286</v>
      </c>
      <c r="W101" s="3">
        <v>0.13525785714285715</v>
      </c>
      <c r="X101" s="3">
        <v>0.10128357142857143</v>
      </c>
      <c r="Y101" s="3">
        <v>99.03256357142858</v>
      </c>
      <c r="Z101" s="6" t="s">
        <v>76</v>
      </c>
    </row>
    <row r="102" spans="1:26" ht="12.75">
      <c r="A102">
        <v>98</v>
      </c>
      <c r="B102" s="4" t="s">
        <v>39</v>
      </c>
      <c r="C102" s="4" t="s">
        <v>500</v>
      </c>
      <c r="D102" s="4" t="s">
        <v>265</v>
      </c>
      <c r="E102" s="4" t="s">
        <v>248</v>
      </c>
      <c r="F102" s="4" t="s">
        <v>415</v>
      </c>
      <c r="K102" s="4">
        <v>-11.79</v>
      </c>
      <c r="L102" s="4">
        <v>1.43</v>
      </c>
      <c r="M102" s="4">
        <v>19138</v>
      </c>
      <c r="N102" s="4">
        <v>2349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6" t="s">
        <v>151</v>
      </c>
    </row>
    <row r="103" spans="1:27" ht="12.75">
      <c r="A103">
        <v>99</v>
      </c>
      <c r="B103" s="4" t="s">
        <v>163</v>
      </c>
      <c r="C103" s="4" t="s">
        <v>500</v>
      </c>
      <c r="D103" s="4" t="s">
        <v>581</v>
      </c>
      <c r="E103" s="4" t="s">
        <v>301</v>
      </c>
      <c r="F103" s="4">
        <v>0.0001</v>
      </c>
      <c r="K103" s="4">
        <v>-19.4</v>
      </c>
      <c r="L103" s="4">
        <f>2*1.9573</f>
        <v>3.9146</v>
      </c>
      <c r="M103" s="4">
        <v>8275</v>
      </c>
      <c r="N103" s="4">
        <f>2*3120</f>
        <v>6240</v>
      </c>
      <c r="O103" s="6">
        <f>0.5*(53+51.52)</f>
        <v>52.260000000000005</v>
      </c>
      <c r="P103" s="6">
        <f>0.5*(2.01+1.95)</f>
        <v>1.98</v>
      </c>
      <c r="Q103" s="6">
        <f>0.5*(18.24+17.73)</f>
        <v>17.985</v>
      </c>
      <c r="R103" s="13">
        <f>0.5*(2.78*0.9+5.45+2.7*0.9+5.3)</f>
        <v>7.840999999999999</v>
      </c>
      <c r="S103" s="6">
        <v>0.19</v>
      </c>
      <c r="T103" s="6">
        <f>0.5*(3.49+3.39)</f>
        <v>3.4400000000000004</v>
      </c>
      <c r="U103" s="6">
        <f>0.5*(7.43+10.04)</f>
        <v>8.735</v>
      </c>
      <c r="V103" s="6">
        <f>0.5*(4.61+4.48)</f>
        <v>4.545</v>
      </c>
      <c r="W103" s="13">
        <f>0.5*(2.18+2.12)</f>
        <v>2.1500000000000004</v>
      </c>
      <c r="X103" s="6">
        <f>0.5*(0.6+0.58)</f>
        <v>0.59</v>
      </c>
      <c r="Y103" s="6">
        <f>SUM(O103:X103)</f>
        <v>99.716</v>
      </c>
      <c r="Z103" s="6" t="s">
        <v>417</v>
      </c>
      <c r="AA103" s="2"/>
    </row>
    <row r="104" spans="1:26" ht="12.75">
      <c r="A104">
        <v>100</v>
      </c>
      <c r="B104" s="4" t="s">
        <v>171</v>
      </c>
      <c r="C104" s="4" t="s">
        <v>475</v>
      </c>
      <c r="D104" s="4" t="s">
        <v>85</v>
      </c>
      <c r="E104" s="4" t="s">
        <v>516</v>
      </c>
      <c r="F104" s="4">
        <v>0.0001</v>
      </c>
      <c r="K104" s="4">
        <v>-5.34</v>
      </c>
      <c r="L104" s="4">
        <f>2*3.14</f>
        <v>6.28</v>
      </c>
      <c r="M104" s="4">
        <v>30761</v>
      </c>
      <c r="N104" s="4">
        <f>2*3297.8</f>
        <v>6595.6</v>
      </c>
      <c r="O104" s="4">
        <v>53.17</v>
      </c>
      <c r="Q104" s="4">
        <v>29.76</v>
      </c>
      <c r="R104" s="10"/>
      <c r="U104" s="4">
        <v>12.23</v>
      </c>
      <c r="V104" s="4">
        <v>4.25</v>
      </c>
      <c r="W104" s="10">
        <v>0.02</v>
      </c>
      <c r="Y104" s="4">
        <v>99.43</v>
      </c>
      <c r="Z104" s="6" t="s">
        <v>400</v>
      </c>
    </row>
    <row r="105" spans="1:26" ht="13.5">
      <c r="A105">
        <v>101</v>
      </c>
      <c r="B105" s="4" t="s">
        <v>77</v>
      </c>
      <c r="C105" s="4" t="s">
        <v>500</v>
      </c>
      <c r="D105" s="4" t="s">
        <v>581</v>
      </c>
      <c r="E105" s="4" t="s">
        <v>371</v>
      </c>
      <c r="F105" s="4" t="s">
        <v>306</v>
      </c>
      <c r="I105" s="10">
        <v>0.04</v>
      </c>
      <c r="K105" s="4">
        <v>-4.56</v>
      </c>
      <c r="L105" s="4">
        <f>2*1.83</f>
        <v>3.66</v>
      </c>
      <c r="M105" s="4">
        <v>32709</v>
      </c>
      <c r="N105" s="4">
        <f>2*2937.32</f>
        <v>5874.64</v>
      </c>
      <c r="O105" s="21">
        <v>56.3</v>
      </c>
      <c r="P105" s="21">
        <v>1.105</v>
      </c>
      <c r="Q105" s="21">
        <v>14.925</v>
      </c>
      <c r="R105" s="21">
        <v>7.185</v>
      </c>
      <c r="S105" s="21">
        <v>0.10744327731092437</v>
      </c>
      <c r="T105" s="21">
        <v>5.9725</v>
      </c>
      <c r="U105" s="21">
        <v>9.31</v>
      </c>
      <c r="V105" s="21">
        <v>3.181491596638655</v>
      </c>
      <c r="W105" s="21">
        <v>1.4214285714285713</v>
      </c>
      <c r="X105" s="21">
        <v>0.32191176470588234</v>
      </c>
      <c r="Y105" s="4">
        <f>SUM(O105:X105)</f>
        <v>99.82977521008404</v>
      </c>
      <c r="Z105" s="6" t="s">
        <v>549</v>
      </c>
    </row>
    <row r="106" spans="1:27" s="25" customFormat="1" ht="12.75">
      <c r="A106">
        <v>102</v>
      </c>
      <c r="B106" s="4" t="s">
        <v>168</v>
      </c>
      <c r="C106" s="4" t="s">
        <v>500</v>
      </c>
      <c r="D106" s="4" t="s">
        <v>130</v>
      </c>
      <c r="E106" s="4" t="s">
        <v>322</v>
      </c>
      <c r="F106" s="4">
        <v>0.0001</v>
      </c>
      <c r="G106" s="4"/>
      <c r="H106" s="4"/>
      <c r="I106" s="10"/>
      <c r="J106" s="4"/>
      <c r="K106" s="4">
        <v>-12.48</v>
      </c>
      <c r="L106" s="4">
        <f>2*0.36</f>
        <v>0.72</v>
      </c>
      <c r="M106" s="4">
        <v>18465</v>
      </c>
      <c r="N106" s="4">
        <f>2*425.2</f>
        <v>850.4</v>
      </c>
      <c r="O106" s="4">
        <v>59.86</v>
      </c>
      <c r="P106" s="4"/>
      <c r="Q106" s="4">
        <v>25.52</v>
      </c>
      <c r="R106" s="10">
        <v>0.023</v>
      </c>
      <c r="S106" s="4"/>
      <c r="T106" s="4">
        <v>0.004</v>
      </c>
      <c r="U106" s="4">
        <v>0.018</v>
      </c>
      <c r="V106" s="4">
        <v>14.58</v>
      </c>
      <c r="W106" s="10">
        <v>0.022</v>
      </c>
      <c r="X106" s="4"/>
      <c r="Y106" s="4">
        <v>100.03</v>
      </c>
      <c r="Z106" s="6" t="s">
        <v>513</v>
      </c>
      <c r="AA106"/>
    </row>
    <row r="107" spans="1:26" ht="12.75">
      <c r="A107">
        <v>103</v>
      </c>
      <c r="B107" s="4" t="s">
        <v>104</v>
      </c>
      <c r="C107" s="4" t="s">
        <v>500</v>
      </c>
      <c r="D107" s="4" t="s">
        <v>130</v>
      </c>
      <c r="E107" s="4" t="s">
        <v>241</v>
      </c>
      <c r="F107" s="4">
        <v>0.0001</v>
      </c>
      <c r="K107" s="4">
        <v>-12.8</v>
      </c>
      <c r="L107" s="4">
        <f>2*1.23</f>
        <v>2.46</v>
      </c>
      <c r="M107" s="4">
        <v>17357</v>
      </c>
      <c r="N107" s="4">
        <f>2*1519.4</f>
        <v>3038.8</v>
      </c>
      <c r="O107" s="4">
        <f>0.5*(66.6+65.7)</f>
        <v>66.15</v>
      </c>
      <c r="Q107" s="4">
        <f>0.5*(9.28+9.96)</f>
        <v>9.620000000000001</v>
      </c>
      <c r="R107" s="10"/>
      <c r="V107" s="4">
        <f>0.5*(20.47+20.71)</f>
        <v>20.59</v>
      </c>
      <c r="W107" s="10">
        <f>0.5*(3.65+3.63)</f>
        <v>3.6399999999999997</v>
      </c>
      <c r="Y107" s="4">
        <v>100</v>
      </c>
      <c r="Z107" s="4" t="s">
        <v>435</v>
      </c>
    </row>
    <row r="108" spans="1:26" ht="12.75">
      <c r="A108">
        <v>104</v>
      </c>
      <c r="B108" s="4" t="s">
        <v>112</v>
      </c>
      <c r="C108" s="4" t="s">
        <v>500</v>
      </c>
      <c r="D108" s="4" t="s">
        <v>130</v>
      </c>
      <c r="E108" s="4" t="s">
        <v>375</v>
      </c>
      <c r="F108" s="4">
        <v>0.0001</v>
      </c>
      <c r="K108" s="4">
        <v>-12.59</v>
      </c>
      <c r="L108" s="4">
        <f>2*0.6939</f>
        <v>1.3878</v>
      </c>
      <c r="M108" s="4">
        <v>19105</v>
      </c>
      <c r="N108" s="4">
        <f>2*788.45</f>
        <v>1576.9</v>
      </c>
      <c r="O108" s="4">
        <v>69.1</v>
      </c>
      <c r="Q108" s="4">
        <v>19.33</v>
      </c>
      <c r="R108" s="10"/>
      <c r="V108" s="4">
        <v>11.74</v>
      </c>
      <c r="W108" s="10">
        <v>0.022</v>
      </c>
      <c r="Y108" s="4">
        <v>100.19</v>
      </c>
      <c r="Z108" s="6" t="s">
        <v>513</v>
      </c>
    </row>
    <row r="109" spans="1:26" ht="12.75">
      <c r="A109">
        <v>105</v>
      </c>
      <c r="B109" s="4" t="s">
        <v>120</v>
      </c>
      <c r="C109" s="4" t="s">
        <v>500</v>
      </c>
      <c r="D109" s="4" t="s">
        <v>83</v>
      </c>
      <c r="E109" s="4" t="s">
        <v>376</v>
      </c>
      <c r="F109" s="4">
        <v>0.0001</v>
      </c>
      <c r="K109" s="4">
        <v>-1.51</v>
      </c>
      <c r="L109" s="4">
        <f>2*0.493</f>
        <v>0.986</v>
      </c>
      <c r="M109" s="4">
        <v>34203</v>
      </c>
      <c r="N109" s="4">
        <f>2*517.27</f>
        <v>1034.54</v>
      </c>
      <c r="O109" s="4">
        <v>73.01</v>
      </c>
      <c r="P109" s="4">
        <v>0.2</v>
      </c>
      <c r="Q109" s="4">
        <v>12.57</v>
      </c>
      <c r="R109" s="10">
        <v>2.71</v>
      </c>
      <c r="S109" s="4">
        <v>0.05</v>
      </c>
      <c r="T109" s="4">
        <v>0.54</v>
      </c>
      <c r="U109" s="4">
        <v>0.41</v>
      </c>
      <c r="V109" s="4">
        <v>5.05</v>
      </c>
      <c r="W109" s="10">
        <v>4.6</v>
      </c>
      <c r="Y109" s="9">
        <f>SUM(O109:X109)</f>
        <v>99.13999999999999</v>
      </c>
      <c r="Z109" s="6" t="s">
        <v>508</v>
      </c>
    </row>
    <row r="110" spans="1:26" ht="12.75">
      <c r="A110">
        <v>106</v>
      </c>
      <c r="B110" s="4" t="s">
        <v>81</v>
      </c>
      <c r="C110" s="4" t="s">
        <v>500</v>
      </c>
      <c r="D110" s="4" t="s">
        <v>581</v>
      </c>
      <c r="E110" s="4" t="s">
        <v>466</v>
      </c>
      <c r="F110" s="4">
        <v>0.8</v>
      </c>
      <c r="K110" s="4">
        <v>8.57</v>
      </c>
      <c r="L110" s="4">
        <f>2*2.8494</f>
        <v>5.6988</v>
      </c>
      <c r="M110" s="4">
        <v>56918</v>
      </c>
      <c r="N110" s="4">
        <f>2*4464.48</f>
        <v>8928.96</v>
      </c>
      <c r="O110" s="22">
        <v>76.01</v>
      </c>
      <c r="P110" s="22">
        <v>0.11</v>
      </c>
      <c r="Q110" s="22">
        <v>13</v>
      </c>
      <c r="R110" s="23">
        <v>0.7</v>
      </c>
      <c r="S110" s="24"/>
      <c r="T110" s="22">
        <v>0.09</v>
      </c>
      <c r="U110" s="22">
        <v>0.52</v>
      </c>
      <c r="V110" s="22">
        <v>3.65</v>
      </c>
      <c r="W110" s="23">
        <v>4.81</v>
      </c>
      <c r="Y110" s="4">
        <f>SUM(O110:X110)</f>
        <v>98.89000000000001</v>
      </c>
      <c r="Z110" s="6" t="s">
        <v>351</v>
      </c>
    </row>
    <row r="111" spans="1:26" ht="12.75">
      <c r="A111">
        <v>107</v>
      </c>
      <c r="B111" s="4" t="s">
        <v>82</v>
      </c>
      <c r="C111" s="4" t="s">
        <v>500</v>
      </c>
      <c r="D111" s="4" t="s">
        <v>581</v>
      </c>
      <c r="E111" s="4" t="s">
        <v>466</v>
      </c>
      <c r="F111" s="4">
        <v>0.8</v>
      </c>
      <c r="I111" s="10">
        <v>1</v>
      </c>
      <c r="K111" s="4">
        <v>21.08</v>
      </c>
      <c r="L111" s="4" t="s">
        <v>256</v>
      </c>
      <c r="M111" s="4">
        <v>10672</v>
      </c>
      <c r="N111" s="4" t="s">
        <v>256</v>
      </c>
      <c r="O111" s="22">
        <v>76.01</v>
      </c>
      <c r="P111" s="22">
        <v>0.11</v>
      </c>
      <c r="Q111" s="22">
        <v>13</v>
      </c>
      <c r="R111" s="23">
        <v>0.7</v>
      </c>
      <c r="S111" s="24"/>
      <c r="T111" s="22">
        <v>0.09</v>
      </c>
      <c r="U111" s="22">
        <v>0.52</v>
      </c>
      <c r="V111" s="22">
        <v>3.65</v>
      </c>
      <c r="W111" s="23">
        <v>4.81</v>
      </c>
      <c r="Y111" s="4">
        <f>SUM(O111:X111)</f>
        <v>98.89000000000001</v>
      </c>
      <c r="Z111" s="6" t="s">
        <v>351</v>
      </c>
    </row>
    <row r="112" spans="1:26" ht="12.75">
      <c r="A112">
        <v>108</v>
      </c>
      <c r="B112" s="4" t="s">
        <v>128</v>
      </c>
      <c r="C112" s="4" t="s">
        <v>500</v>
      </c>
      <c r="D112" s="4" t="s">
        <v>130</v>
      </c>
      <c r="E112" s="4" t="s">
        <v>596</v>
      </c>
      <c r="F112" s="4">
        <v>0.0001</v>
      </c>
      <c r="K112" s="4">
        <v>-10.58</v>
      </c>
      <c r="L112" s="4">
        <f>2*1.317</f>
        <v>2.634</v>
      </c>
      <c r="M112" s="4">
        <v>29830</v>
      </c>
      <c r="N112" s="4">
        <f>2*2178</f>
        <v>4356</v>
      </c>
      <c r="O112" s="4">
        <f>0.5*(79.64+79.21)</f>
        <v>79.425</v>
      </c>
      <c r="Q112" s="4">
        <f>0.5*(11.33+11.95)</f>
        <v>11.64</v>
      </c>
      <c r="R112" s="10"/>
      <c r="V112" s="4">
        <f>0.5*(4.88+4.66)</f>
        <v>4.77</v>
      </c>
      <c r="W112" s="10">
        <f>0.5*(4.15+4.18)</f>
        <v>4.165</v>
      </c>
      <c r="Y112" s="4">
        <v>100</v>
      </c>
      <c r="Z112" s="4" t="s">
        <v>435</v>
      </c>
    </row>
    <row r="113" spans="1:26" ht="12.75">
      <c r="A113">
        <v>109</v>
      </c>
      <c r="B113" s="4" t="s">
        <v>129</v>
      </c>
      <c r="C113" s="4" t="s">
        <v>500</v>
      </c>
      <c r="D113" s="4" t="s">
        <v>130</v>
      </c>
      <c r="E113" s="4" t="s">
        <v>493</v>
      </c>
      <c r="F113" s="4">
        <v>1</v>
      </c>
      <c r="I113" s="10">
        <v>3.6</v>
      </c>
      <c r="K113" s="4">
        <v>-15.03</v>
      </c>
      <c r="L113" s="4" t="s">
        <v>256</v>
      </c>
      <c r="M113" s="4">
        <v>15153</v>
      </c>
      <c r="N113" s="4" t="s">
        <v>256</v>
      </c>
      <c r="O113" s="4">
        <f>0.5*(79.64+79.21)</f>
        <v>79.425</v>
      </c>
      <c r="Q113" s="4">
        <f>0.5*(11.33+11.95)</f>
        <v>11.64</v>
      </c>
      <c r="R113" s="10"/>
      <c r="V113" s="4">
        <f>0.5*(4.88+4.66)</f>
        <v>4.77</v>
      </c>
      <c r="W113" s="10">
        <f>0.5*(4.15+4.18)</f>
        <v>4.165</v>
      </c>
      <c r="Y113" s="4">
        <v>100</v>
      </c>
      <c r="Z113" s="4" t="s">
        <v>435</v>
      </c>
    </row>
    <row r="114" spans="1:26" ht="12.75">
      <c r="A114">
        <v>110</v>
      </c>
      <c r="O114"/>
      <c r="P114"/>
      <c r="Q114"/>
      <c r="R114"/>
      <c r="S114"/>
      <c r="T114"/>
      <c r="U114"/>
      <c r="V114"/>
      <c r="W114"/>
      <c r="X114"/>
      <c r="Z114" s="6"/>
    </row>
    <row r="115" spans="1:27" s="25" customFormat="1" ht="12.75">
      <c r="A115">
        <v>111</v>
      </c>
      <c r="B115" s="4" t="s">
        <v>153</v>
      </c>
      <c r="C115" s="4" t="s">
        <v>341</v>
      </c>
      <c r="D115" s="4" t="s">
        <v>83</v>
      </c>
      <c r="E115" s="4" t="s">
        <v>574</v>
      </c>
      <c r="F115" s="4">
        <v>0.0001</v>
      </c>
      <c r="G115" s="4"/>
      <c r="H115" s="4"/>
      <c r="I115" s="10"/>
      <c r="J115" s="4"/>
      <c r="K115" s="4">
        <v>-8.15</v>
      </c>
      <c r="L115" s="4">
        <v>4</v>
      </c>
      <c r="M115" s="4">
        <v>25530</v>
      </c>
      <c r="N115" s="4">
        <v>6430</v>
      </c>
      <c r="O115" s="4">
        <v>45.89</v>
      </c>
      <c r="P115" s="4">
        <v>3.72</v>
      </c>
      <c r="Q115" s="4">
        <v>16.55</v>
      </c>
      <c r="R115" s="10">
        <v>11.759</v>
      </c>
      <c r="S115" s="4">
        <v>0.18</v>
      </c>
      <c r="T115" s="4">
        <v>6.3</v>
      </c>
      <c r="U115" s="4">
        <v>9.62</v>
      </c>
      <c r="V115" s="4">
        <v>3.72</v>
      </c>
      <c r="W115" s="10">
        <v>1.66</v>
      </c>
      <c r="X115" s="4">
        <v>0.52</v>
      </c>
      <c r="Y115" s="9">
        <v>99.919</v>
      </c>
      <c r="Z115" s="6" t="s">
        <v>543</v>
      </c>
      <c r="AA115"/>
    </row>
    <row r="116" spans="1:26" ht="12.75">
      <c r="A116">
        <v>112</v>
      </c>
      <c r="B116" s="4" t="s">
        <v>162</v>
      </c>
      <c r="C116" s="4" t="s">
        <v>455</v>
      </c>
      <c r="D116" s="4" t="s">
        <v>83</v>
      </c>
      <c r="E116" s="4" t="s">
        <v>218</v>
      </c>
      <c r="F116" s="4">
        <v>0.0001</v>
      </c>
      <c r="K116" s="4">
        <v>-10.49</v>
      </c>
      <c r="M116" s="4">
        <v>21890</v>
      </c>
      <c r="O116" s="4">
        <v>49.68</v>
      </c>
      <c r="P116" s="10">
        <v>2.59</v>
      </c>
      <c r="Q116" s="10">
        <v>12.7</v>
      </c>
      <c r="R116" s="10">
        <v>11.05</v>
      </c>
      <c r="S116" s="10">
        <v>0.17</v>
      </c>
      <c r="T116" s="10">
        <v>9.46</v>
      </c>
      <c r="U116" s="10">
        <v>10.79</v>
      </c>
      <c r="V116" s="10">
        <v>2.31</v>
      </c>
      <c r="W116" s="10">
        <v>0.48</v>
      </c>
      <c r="X116" s="10"/>
      <c r="Y116" s="9">
        <f>SUM(P116:X116)</f>
        <v>49.55</v>
      </c>
      <c r="Z116" s="6" t="s">
        <v>682</v>
      </c>
    </row>
    <row r="117" spans="1:26" ht="12.75">
      <c r="A117">
        <v>113</v>
      </c>
      <c r="B117" s="4" t="s">
        <v>42</v>
      </c>
      <c r="C117" s="4" t="s">
        <v>43</v>
      </c>
      <c r="D117" s="4" t="s">
        <v>130</v>
      </c>
      <c r="E117" s="4" t="s">
        <v>218</v>
      </c>
      <c r="F117" s="4">
        <v>0.0001</v>
      </c>
      <c r="K117" s="4">
        <v>-11.4</v>
      </c>
      <c r="L117" s="4">
        <v>2.4</v>
      </c>
      <c r="M117" s="4">
        <v>20361</v>
      </c>
      <c r="N117" s="4">
        <v>3881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9"/>
      <c r="Z117" s="6"/>
    </row>
    <row r="118" spans="1:26" ht="12.75">
      <c r="A118">
        <v>114</v>
      </c>
      <c r="B118" s="4" t="s">
        <v>167</v>
      </c>
      <c r="C118" s="4" t="s">
        <v>341</v>
      </c>
      <c r="D118" s="4" t="s">
        <v>83</v>
      </c>
      <c r="E118" s="4" t="s">
        <v>612</v>
      </c>
      <c r="F118" s="4">
        <v>0.0001</v>
      </c>
      <c r="K118" s="4">
        <v>-14.3</v>
      </c>
      <c r="L118" s="4">
        <v>2.786</v>
      </c>
      <c r="M118" s="4">
        <v>17277</v>
      </c>
      <c r="N118" s="4">
        <v>4516</v>
      </c>
      <c r="O118" s="4">
        <v>57.76</v>
      </c>
      <c r="P118" s="4">
        <v>0.85</v>
      </c>
      <c r="Q118" s="4">
        <v>19.14</v>
      </c>
      <c r="R118" s="10">
        <v>6.281</v>
      </c>
      <c r="S118" s="4">
        <v>0.11</v>
      </c>
      <c r="T118" s="4">
        <v>3.45</v>
      </c>
      <c r="U118" s="4">
        <v>6.27</v>
      </c>
      <c r="V118" s="4">
        <v>4.31</v>
      </c>
      <c r="W118" s="10">
        <v>1.79</v>
      </c>
      <c r="X118" s="4">
        <v>0.2</v>
      </c>
      <c r="Y118" s="9">
        <v>100.161</v>
      </c>
      <c r="Z118" s="6" t="s">
        <v>543</v>
      </c>
    </row>
    <row r="119" spans="1:26" ht="12.75">
      <c r="A119">
        <v>115</v>
      </c>
      <c r="B119" s="4" t="s">
        <v>173</v>
      </c>
      <c r="C119" s="4" t="s">
        <v>341</v>
      </c>
      <c r="D119" s="4" t="s">
        <v>130</v>
      </c>
      <c r="E119" s="4" t="s">
        <v>699</v>
      </c>
      <c r="F119" s="4">
        <v>0.5</v>
      </c>
      <c r="K119" s="6">
        <v>-7.5</v>
      </c>
      <c r="L119" s="4">
        <v>4.96</v>
      </c>
      <c r="M119" s="4">
        <v>26793</v>
      </c>
      <c r="N119" s="4">
        <v>7206</v>
      </c>
      <c r="O119" s="4">
        <v>59.8</v>
      </c>
      <c r="P119" s="4">
        <v>0.78</v>
      </c>
      <c r="Q119" s="4">
        <v>19.52</v>
      </c>
      <c r="R119" s="10">
        <v>2.95</v>
      </c>
      <c r="T119" s="4">
        <v>0.66</v>
      </c>
      <c r="U119" s="4">
        <v>3.86</v>
      </c>
      <c r="V119" s="4">
        <v>5.5</v>
      </c>
      <c r="W119" s="10">
        <v>7.31</v>
      </c>
      <c r="Y119" s="4">
        <v>100.38</v>
      </c>
      <c r="Z119" s="4" t="s">
        <v>391</v>
      </c>
    </row>
    <row r="120" spans="1:26" ht="12.75">
      <c r="A120">
        <v>116</v>
      </c>
      <c r="B120" s="4" t="s">
        <v>656</v>
      </c>
      <c r="C120" s="4" t="s">
        <v>341</v>
      </c>
      <c r="D120" s="4" t="s">
        <v>130</v>
      </c>
      <c r="E120" s="4" t="s">
        <v>699</v>
      </c>
      <c r="F120" s="4">
        <v>0.5</v>
      </c>
      <c r="I120" s="10" t="s">
        <v>658</v>
      </c>
      <c r="K120" s="8" t="s">
        <v>669</v>
      </c>
      <c r="Z120" s="6" t="s">
        <v>151</v>
      </c>
    </row>
    <row r="121" spans="1:26" ht="12.75">
      <c r="A121">
        <v>117</v>
      </c>
      <c r="B121" s="4" t="s">
        <v>168</v>
      </c>
      <c r="C121" s="4" t="s">
        <v>341</v>
      </c>
      <c r="D121" s="4" t="s">
        <v>83</v>
      </c>
      <c r="E121" s="4" t="s">
        <v>322</v>
      </c>
      <c r="F121" s="4">
        <v>0.0001</v>
      </c>
      <c r="K121" s="4">
        <v>-12.99</v>
      </c>
      <c r="L121" s="4">
        <v>0.866</v>
      </c>
      <c r="M121" s="4">
        <v>17973</v>
      </c>
      <c r="N121" s="4">
        <v>1020</v>
      </c>
      <c r="O121" s="4">
        <v>59.86</v>
      </c>
      <c r="Q121" s="4">
        <v>25.52</v>
      </c>
      <c r="R121" s="10">
        <v>0.023</v>
      </c>
      <c r="T121" s="4">
        <v>0.004</v>
      </c>
      <c r="U121" s="4">
        <v>0.018</v>
      </c>
      <c r="V121" s="4">
        <v>14.58</v>
      </c>
      <c r="W121" s="10">
        <v>0.022</v>
      </c>
      <c r="Y121" s="4">
        <v>100.03</v>
      </c>
      <c r="Z121" s="6" t="s">
        <v>399</v>
      </c>
    </row>
    <row r="122" spans="1:26" ht="12.75">
      <c r="A122">
        <v>118</v>
      </c>
      <c r="B122" s="4" t="s">
        <v>99</v>
      </c>
      <c r="C122" s="4" t="s">
        <v>341</v>
      </c>
      <c r="D122" s="4" t="s">
        <v>130</v>
      </c>
      <c r="E122" s="4" t="s">
        <v>389</v>
      </c>
      <c r="F122" s="4">
        <v>0.5</v>
      </c>
      <c r="K122" s="4">
        <v>-13.77</v>
      </c>
      <c r="L122" s="4">
        <v>1.82</v>
      </c>
      <c r="M122" s="4">
        <v>20788</v>
      </c>
      <c r="N122" s="4">
        <v>2622</v>
      </c>
      <c r="O122" s="4">
        <v>62.37</v>
      </c>
      <c r="P122" s="4">
        <v>0.48</v>
      </c>
      <c r="Q122" s="4">
        <v>18.61</v>
      </c>
      <c r="R122" s="10">
        <v>3.68</v>
      </c>
      <c r="T122" s="4">
        <v>0.24</v>
      </c>
      <c r="U122" s="4">
        <v>1.73</v>
      </c>
      <c r="V122" s="4">
        <v>5.43</v>
      </c>
      <c r="W122" s="10">
        <v>7.25</v>
      </c>
      <c r="Y122" s="4">
        <v>99.79</v>
      </c>
      <c r="Z122" s="4" t="s">
        <v>391</v>
      </c>
    </row>
    <row r="123" spans="1:26" ht="12.75">
      <c r="A123">
        <v>119</v>
      </c>
      <c r="B123" s="4" t="s">
        <v>561</v>
      </c>
      <c r="C123" s="4" t="s">
        <v>341</v>
      </c>
      <c r="D123" s="4" t="s">
        <v>130</v>
      </c>
      <c r="E123" s="4" t="s">
        <v>389</v>
      </c>
      <c r="F123" s="4">
        <v>0.5</v>
      </c>
      <c r="I123" s="10" t="s">
        <v>657</v>
      </c>
      <c r="K123" s="8" t="s">
        <v>659</v>
      </c>
      <c r="Z123" s="6" t="s">
        <v>151</v>
      </c>
    </row>
    <row r="124" spans="1:26" ht="12.75">
      <c r="A124">
        <v>120</v>
      </c>
      <c r="B124" s="4" t="s">
        <v>112</v>
      </c>
      <c r="C124" s="4" t="s">
        <v>341</v>
      </c>
      <c r="D124" s="4" t="s">
        <v>83</v>
      </c>
      <c r="E124" s="4" t="s">
        <v>575</v>
      </c>
      <c r="F124" s="4">
        <v>0.0001</v>
      </c>
      <c r="K124" s="4">
        <v>-12.55</v>
      </c>
      <c r="L124" s="4">
        <v>1.294</v>
      </c>
      <c r="M124" s="4">
        <v>19222</v>
      </c>
      <c r="N124" s="4">
        <v>1440.6</v>
      </c>
      <c r="O124" s="4">
        <v>69.1</v>
      </c>
      <c r="Q124" s="4">
        <v>19.33</v>
      </c>
      <c r="R124" s="10"/>
      <c r="V124" s="4">
        <v>11.74</v>
      </c>
      <c r="W124" s="10">
        <v>0.022</v>
      </c>
      <c r="Y124" s="4">
        <v>100.19</v>
      </c>
      <c r="Z124" s="6" t="s">
        <v>399</v>
      </c>
    </row>
    <row r="125" spans="1:26" ht="12.75">
      <c r="A125">
        <v>121</v>
      </c>
      <c r="B125" s="4" t="s">
        <v>117</v>
      </c>
      <c r="C125" s="4" t="s">
        <v>341</v>
      </c>
      <c r="D125" s="4" t="s">
        <v>66</v>
      </c>
      <c r="E125" s="4" t="s">
        <v>583</v>
      </c>
      <c r="F125" s="4">
        <v>1</v>
      </c>
      <c r="K125" s="4">
        <v>-16.25</v>
      </c>
      <c r="L125" s="4">
        <v>0.98</v>
      </c>
      <c r="M125" s="4">
        <v>16352</v>
      </c>
      <c r="N125" s="4">
        <v>1589.2</v>
      </c>
      <c r="O125" s="4">
        <v>72.1</v>
      </c>
      <c r="P125" s="4">
        <v>0.2</v>
      </c>
      <c r="Q125" s="4">
        <v>14.86</v>
      </c>
      <c r="R125" s="10">
        <v>2.2</v>
      </c>
      <c r="T125" s="4">
        <v>0.47</v>
      </c>
      <c r="U125" s="4">
        <v>2.03</v>
      </c>
      <c r="V125" s="4">
        <v>4.13</v>
      </c>
      <c r="W125" s="10">
        <v>3.2</v>
      </c>
      <c r="Y125" s="4">
        <v>99.19</v>
      </c>
      <c r="Z125" s="4" t="s">
        <v>468</v>
      </c>
    </row>
    <row r="126" spans="1:26" ht="12.75">
      <c r="A126">
        <v>122</v>
      </c>
      <c r="B126" s="4" t="s">
        <v>121</v>
      </c>
      <c r="C126" s="4" t="s">
        <v>341</v>
      </c>
      <c r="D126" s="4" t="s">
        <v>130</v>
      </c>
      <c r="E126" s="4" t="s">
        <v>484</v>
      </c>
      <c r="F126" s="4">
        <v>1</v>
      </c>
      <c r="I126" s="10" t="s">
        <v>613</v>
      </c>
      <c r="K126" s="4">
        <v>-9.46</v>
      </c>
      <c r="L126" s="4">
        <v>3.78</v>
      </c>
      <c r="M126" s="4">
        <v>27272</v>
      </c>
      <c r="N126" s="4">
        <v>5914</v>
      </c>
      <c r="O126" s="4">
        <f>0.5*(73.91+73.45)</f>
        <v>73.68</v>
      </c>
      <c r="P126" s="4">
        <f>0.5*(0.34+0.22)</f>
        <v>0.28</v>
      </c>
      <c r="Q126" s="4">
        <f>0.5*(13.62+13.66)</f>
        <v>13.64</v>
      </c>
      <c r="R126" s="10">
        <f>0.5*(1.9+1.73)</f>
        <v>1.815</v>
      </c>
      <c r="S126" s="4">
        <f>0.5*(0.08+0.12)</f>
        <v>0.1</v>
      </c>
      <c r="T126" s="4">
        <f>0.5*(0.19+0.25)</f>
        <v>0.22</v>
      </c>
      <c r="U126" s="4">
        <f>0.5*(1.01+0.97)</f>
        <v>0.99</v>
      </c>
      <c r="V126" s="4">
        <f>0.5*(4.83+4.31)</f>
        <v>4.57</v>
      </c>
      <c r="W126" s="10">
        <f>0.5*(4.14+4.04)</f>
        <v>4.09</v>
      </c>
      <c r="Y126" s="4">
        <f>0.5*(98.83+99.73)</f>
        <v>99.28</v>
      </c>
      <c r="Z126" s="6" t="s">
        <v>402</v>
      </c>
    </row>
    <row r="127" spans="1:26" ht="12.75">
      <c r="A127">
        <v>123</v>
      </c>
      <c r="B127" s="4" t="s">
        <v>40</v>
      </c>
      <c r="C127" s="4" t="s">
        <v>341</v>
      </c>
      <c r="D127" s="4" t="s">
        <v>68</v>
      </c>
      <c r="E127" s="4" t="s">
        <v>584</v>
      </c>
      <c r="F127" s="4" t="s">
        <v>41</v>
      </c>
      <c r="I127" s="10" t="s">
        <v>613</v>
      </c>
      <c r="K127" s="4">
        <v>-14.8</v>
      </c>
      <c r="L127" s="4">
        <v>0.65</v>
      </c>
      <c r="M127" s="4">
        <v>18745</v>
      </c>
      <c r="N127" s="4">
        <v>824</v>
      </c>
      <c r="Z127" s="6" t="s">
        <v>151</v>
      </c>
    </row>
    <row r="128" spans="1:27" ht="12.75">
      <c r="A128">
        <v>124</v>
      </c>
      <c r="B128" s="4" t="s">
        <v>126</v>
      </c>
      <c r="C128" s="4" t="s">
        <v>341</v>
      </c>
      <c r="D128" s="4" t="s">
        <v>83</v>
      </c>
      <c r="E128" s="4" t="s">
        <v>205</v>
      </c>
      <c r="F128" s="4">
        <v>0.0001</v>
      </c>
      <c r="I128" s="10">
        <v>0.11</v>
      </c>
      <c r="K128" s="4">
        <v>-12.11</v>
      </c>
      <c r="L128" s="4">
        <v>0.8</v>
      </c>
      <c r="M128" s="4">
        <v>21488</v>
      </c>
      <c r="N128" s="4">
        <v>805</v>
      </c>
      <c r="O128" s="5">
        <v>76.87</v>
      </c>
      <c r="P128" s="5">
        <v>0.07</v>
      </c>
      <c r="Q128" s="5">
        <v>12.2</v>
      </c>
      <c r="R128" s="5">
        <v>0.94</v>
      </c>
      <c r="S128" s="5">
        <v>0.05</v>
      </c>
      <c r="T128" s="5">
        <v>0.05</v>
      </c>
      <c r="U128" s="5">
        <v>0.3</v>
      </c>
      <c r="V128" s="5">
        <v>4.38</v>
      </c>
      <c r="W128" s="5">
        <v>4.4</v>
      </c>
      <c r="X128" s="5"/>
      <c r="Y128" s="5">
        <v>99.26</v>
      </c>
      <c r="Z128" s="6" t="s">
        <v>206</v>
      </c>
      <c r="AA128" s="2"/>
    </row>
    <row r="129" spans="1:26" ht="12.75">
      <c r="A129">
        <v>125</v>
      </c>
      <c r="B129" s="4" t="s">
        <v>128</v>
      </c>
      <c r="C129" s="4" t="s">
        <v>341</v>
      </c>
      <c r="D129" s="4" t="s">
        <v>130</v>
      </c>
      <c r="E129" s="4" t="s">
        <v>483</v>
      </c>
      <c r="F129" s="4">
        <v>0.0001</v>
      </c>
      <c r="K129" s="4">
        <v>-11.76</v>
      </c>
      <c r="L129" s="4">
        <v>3.234</v>
      </c>
      <c r="M129" s="4">
        <v>26420</v>
      </c>
      <c r="N129" s="4">
        <v>5348</v>
      </c>
      <c r="O129" s="4">
        <f>0.5*(79.64+79.21)</f>
        <v>79.425</v>
      </c>
      <c r="Q129" s="4">
        <f>0.5*(11.33+11.95)</f>
        <v>11.64</v>
      </c>
      <c r="R129" s="10"/>
      <c r="V129" s="4">
        <f>0.5*(4.88+4.66)</f>
        <v>4.77</v>
      </c>
      <c r="W129" s="10">
        <f>0.5*(4.15+4.18)</f>
        <v>4.165</v>
      </c>
      <c r="Y129" s="4">
        <v>100</v>
      </c>
      <c r="Z129" s="4" t="s">
        <v>435</v>
      </c>
    </row>
    <row r="130" spans="1:11" ht="12.75">
      <c r="A130">
        <v>126</v>
      </c>
      <c r="K130" s="6"/>
    </row>
    <row r="131" spans="1:26" ht="12.75">
      <c r="A131">
        <v>127</v>
      </c>
      <c r="B131" s="4" t="s">
        <v>153</v>
      </c>
      <c r="C131" s="4" t="s">
        <v>473</v>
      </c>
      <c r="D131" s="4" t="s">
        <v>83</v>
      </c>
      <c r="E131" s="4" t="s">
        <v>572</v>
      </c>
      <c r="F131" s="4">
        <v>0.0001</v>
      </c>
      <c r="K131" s="6">
        <v>-11.71</v>
      </c>
      <c r="L131" s="4">
        <f>2*1.216</f>
        <v>2.432</v>
      </c>
      <c r="M131" s="4">
        <v>20412</v>
      </c>
      <c r="N131" s="4">
        <f>2*1972</f>
        <v>3944</v>
      </c>
      <c r="O131" s="4">
        <v>45.89</v>
      </c>
      <c r="P131" s="4">
        <v>3.72</v>
      </c>
      <c r="Q131" s="4">
        <v>16.55</v>
      </c>
      <c r="R131" s="10">
        <v>11.759</v>
      </c>
      <c r="S131" s="4">
        <v>0.18</v>
      </c>
      <c r="T131" s="4">
        <v>6.3</v>
      </c>
      <c r="U131" s="4">
        <v>9.62</v>
      </c>
      <c r="V131" s="4">
        <v>3.72</v>
      </c>
      <c r="W131" s="10">
        <v>1.66</v>
      </c>
      <c r="X131" s="4">
        <v>0.52</v>
      </c>
      <c r="Y131" s="9">
        <v>99.919</v>
      </c>
      <c r="Z131" s="6" t="s">
        <v>543</v>
      </c>
    </row>
    <row r="132" spans="1:26" ht="12.75">
      <c r="A132">
        <v>128</v>
      </c>
      <c r="B132" s="4" t="s">
        <v>154</v>
      </c>
      <c r="C132" s="4" t="s">
        <v>540</v>
      </c>
      <c r="D132" s="4" t="s">
        <v>66</v>
      </c>
      <c r="E132" s="4" t="s">
        <v>250</v>
      </c>
      <c r="F132" s="4">
        <v>0.0001</v>
      </c>
      <c r="K132" s="6">
        <v>-11.23</v>
      </c>
      <c r="L132" s="4">
        <f>2*2.517</f>
        <v>5.034</v>
      </c>
      <c r="M132" s="4">
        <v>21816</v>
      </c>
      <c r="N132" s="4">
        <f>2*4288.26</f>
        <v>8576.52</v>
      </c>
      <c r="O132" s="4">
        <v>47.7</v>
      </c>
      <c r="Q132" s="4">
        <v>16</v>
      </c>
      <c r="R132" s="10"/>
      <c r="T132" s="4">
        <v>16.4</v>
      </c>
      <c r="U132" s="4">
        <v>19.2</v>
      </c>
      <c r="W132" s="10"/>
      <c r="Y132" s="4">
        <v>99.3</v>
      </c>
      <c r="Z132" s="4" t="s">
        <v>532</v>
      </c>
    </row>
    <row r="133" spans="1:26" ht="12.75">
      <c r="A133">
        <v>129</v>
      </c>
      <c r="B133" s="4" t="s">
        <v>162</v>
      </c>
      <c r="C133" s="4" t="s">
        <v>473</v>
      </c>
      <c r="D133" s="4" t="s">
        <v>83</v>
      </c>
      <c r="E133" s="4" t="s">
        <v>202</v>
      </c>
      <c r="F133" s="4">
        <v>0.0001</v>
      </c>
      <c r="K133" s="4">
        <v>-13.38</v>
      </c>
      <c r="L133" s="4">
        <f>2*2.01251</f>
        <v>4.02502</v>
      </c>
      <c r="M133" s="4">
        <v>17655</v>
      </c>
      <c r="N133" s="4">
        <f>2*3248.727</f>
        <v>6497.454</v>
      </c>
      <c r="O133" s="10">
        <v>49.68</v>
      </c>
      <c r="P133" s="10">
        <v>2.59</v>
      </c>
      <c r="Q133" s="10">
        <v>12.7</v>
      </c>
      <c r="R133" s="10">
        <v>11.05</v>
      </c>
      <c r="S133" s="10">
        <v>0.17</v>
      </c>
      <c r="T133" s="10">
        <v>9.46</v>
      </c>
      <c r="U133" s="10">
        <v>10.79</v>
      </c>
      <c r="V133" s="10">
        <v>2.31</v>
      </c>
      <c r="W133" s="10">
        <v>0.48</v>
      </c>
      <c r="X133" s="10"/>
      <c r="Y133" s="9">
        <f>SUM(O133:X133)</f>
        <v>99.23</v>
      </c>
      <c r="Z133" s="6" t="s">
        <v>682</v>
      </c>
    </row>
    <row r="134" spans="1:26" ht="12.75">
      <c r="A134">
        <v>130</v>
      </c>
      <c r="B134" s="4" t="s">
        <v>219</v>
      </c>
      <c r="C134" s="4" t="s">
        <v>540</v>
      </c>
      <c r="D134" s="4" t="s">
        <v>84</v>
      </c>
      <c r="E134" s="4" t="s">
        <v>220</v>
      </c>
      <c r="F134" s="4">
        <v>0.0001</v>
      </c>
      <c r="K134" s="6">
        <v>-14.68</v>
      </c>
      <c r="L134" s="4">
        <v>2.31</v>
      </c>
      <c r="M134" s="4">
        <v>15691</v>
      </c>
      <c r="N134" s="4">
        <v>3800</v>
      </c>
      <c r="R134" s="10"/>
      <c r="W134" s="10"/>
      <c r="Z134" s="6" t="s">
        <v>151</v>
      </c>
    </row>
    <row r="135" spans="1:26" ht="12.75">
      <c r="A135">
        <v>131</v>
      </c>
      <c r="B135" s="4" t="s">
        <v>167</v>
      </c>
      <c r="C135" s="4" t="s">
        <v>540</v>
      </c>
      <c r="D135" s="4" t="s">
        <v>83</v>
      </c>
      <c r="E135" s="4" t="s">
        <v>295</v>
      </c>
      <c r="F135" s="4">
        <v>0.0001</v>
      </c>
      <c r="K135" s="6">
        <v>-10.76</v>
      </c>
      <c r="L135" s="4">
        <f>2*0.2938</f>
        <v>0.5876</v>
      </c>
      <c r="M135" s="4">
        <v>24065</v>
      </c>
      <c r="N135" s="4">
        <f>2*1124.86</f>
        <v>2249.72</v>
      </c>
      <c r="O135" s="4">
        <v>57.76</v>
      </c>
      <c r="P135" s="4">
        <v>0.85</v>
      </c>
      <c r="Q135" s="4">
        <v>19.14</v>
      </c>
      <c r="R135" s="10">
        <v>6.281</v>
      </c>
      <c r="S135" s="4">
        <v>0.11</v>
      </c>
      <c r="T135" s="4">
        <v>3.45</v>
      </c>
      <c r="U135" s="4">
        <v>6.27</v>
      </c>
      <c r="V135" s="4">
        <v>4.31</v>
      </c>
      <c r="W135" s="10">
        <v>1.79</v>
      </c>
      <c r="X135" s="4">
        <v>0.2</v>
      </c>
      <c r="Y135" s="9">
        <v>100.161</v>
      </c>
      <c r="Z135" s="6" t="s">
        <v>543</v>
      </c>
    </row>
    <row r="136" spans="1:26" ht="12.75">
      <c r="A136">
        <v>132</v>
      </c>
      <c r="B136" s="4" t="s">
        <v>173</v>
      </c>
      <c r="C136" s="4" t="s">
        <v>540</v>
      </c>
      <c r="D136" s="4" t="s">
        <v>130</v>
      </c>
      <c r="E136" s="4" t="s">
        <v>384</v>
      </c>
      <c r="F136" s="4">
        <v>0.5</v>
      </c>
      <c r="I136" s="10" t="s">
        <v>268</v>
      </c>
      <c r="K136" s="6">
        <v>-6.79</v>
      </c>
      <c r="L136" s="4">
        <f>2*1.567</f>
        <v>3.134</v>
      </c>
      <c r="M136" s="4">
        <v>28590</v>
      </c>
      <c r="N136" s="4">
        <f>2*2277</f>
        <v>4554</v>
      </c>
      <c r="O136" s="4">
        <v>59.8</v>
      </c>
      <c r="P136" s="4">
        <v>0.78</v>
      </c>
      <c r="Q136" s="4">
        <v>19.52</v>
      </c>
      <c r="R136" s="10">
        <v>2.95</v>
      </c>
      <c r="T136" s="4">
        <v>0.66</v>
      </c>
      <c r="U136" s="4">
        <v>3.86</v>
      </c>
      <c r="V136" s="4">
        <v>5.5</v>
      </c>
      <c r="W136" s="10">
        <v>7.31</v>
      </c>
      <c r="Y136" s="4">
        <v>100.38</v>
      </c>
      <c r="Z136" s="4" t="s">
        <v>391</v>
      </c>
    </row>
    <row r="137" spans="1:26" ht="12.75">
      <c r="A137">
        <v>133</v>
      </c>
      <c r="B137" s="4" t="s">
        <v>174</v>
      </c>
      <c r="C137" s="4" t="s">
        <v>540</v>
      </c>
      <c r="D137" s="4" t="s">
        <v>130</v>
      </c>
      <c r="E137" s="4" t="s">
        <v>492</v>
      </c>
      <c r="F137" s="4">
        <v>0.5</v>
      </c>
      <c r="I137" s="10" t="s">
        <v>304</v>
      </c>
      <c r="K137" s="6">
        <v>-7.99</v>
      </c>
      <c r="L137" s="4">
        <f>2*0.7365</f>
        <v>1.473</v>
      </c>
      <c r="M137" s="4">
        <v>23829</v>
      </c>
      <c r="N137" s="4">
        <f>2*1053.76</f>
        <v>2107.52</v>
      </c>
      <c r="O137">
        <v>59.8</v>
      </c>
      <c r="P137">
        <v>0.78</v>
      </c>
      <c r="Q137">
        <v>19.52</v>
      </c>
      <c r="R137">
        <v>2.95</v>
      </c>
      <c r="S137"/>
      <c r="T137">
        <v>0.66</v>
      </c>
      <c r="U137">
        <v>3.86</v>
      </c>
      <c r="V137">
        <v>5.5</v>
      </c>
      <c r="W137">
        <v>7.31</v>
      </c>
      <c r="X137"/>
      <c r="Y137">
        <v>100.38</v>
      </c>
      <c r="Z137" t="s">
        <v>391</v>
      </c>
    </row>
    <row r="138" spans="1:26" ht="12.75">
      <c r="A138">
        <v>134</v>
      </c>
      <c r="B138" s="4" t="s">
        <v>656</v>
      </c>
      <c r="C138" s="4" t="s">
        <v>540</v>
      </c>
      <c r="D138" s="4" t="s">
        <v>130</v>
      </c>
      <c r="E138" s="4" t="s">
        <v>492</v>
      </c>
      <c r="F138" s="4">
        <v>0.5</v>
      </c>
      <c r="I138" s="10" t="s">
        <v>658</v>
      </c>
      <c r="K138" s="8" t="s">
        <v>303</v>
      </c>
      <c r="Z138" s="6" t="s">
        <v>151</v>
      </c>
    </row>
    <row r="139" spans="1:26" ht="12.75">
      <c r="A139">
        <v>135</v>
      </c>
      <c r="B139" s="4" t="s">
        <v>168</v>
      </c>
      <c r="C139" s="4" t="s">
        <v>540</v>
      </c>
      <c r="D139" s="4" t="s">
        <v>130</v>
      </c>
      <c r="E139" s="4" t="s">
        <v>322</v>
      </c>
      <c r="F139" s="4">
        <v>0.0001</v>
      </c>
      <c r="K139" s="6">
        <v>-10.18</v>
      </c>
      <c r="L139" s="4">
        <f>2*0.457499</f>
        <v>0.914998</v>
      </c>
      <c r="M139" s="4">
        <v>23863</v>
      </c>
      <c r="N139" s="4">
        <f>2*541.2</f>
        <v>1082.4</v>
      </c>
      <c r="O139" s="4">
        <v>59.86</v>
      </c>
      <c r="Q139" s="4">
        <v>25.52</v>
      </c>
      <c r="R139" s="10">
        <v>0.023</v>
      </c>
      <c r="T139" s="4">
        <v>0.004</v>
      </c>
      <c r="U139" s="4">
        <v>0.018</v>
      </c>
      <c r="V139" s="4">
        <v>14.58</v>
      </c>
      <c r="W139" s="10">
        <v>0.022</v>
      </c>
      <c r="Y139" s="4">
        <v>100.03</v>
      </c>
      <c r="Z139" s="6" t="s">
        <v>399</v>
      </c>
    </row>
    <row r="140" spans="1:26" ht="12.75">
      <c r="A140">
        <v>136</v>
      </c>
      <c r="B140" s="4" t="s">
        <v>278</v>
      </c>
      <c r="C140" s="4" t="s">
        <v>540</v>
      </c>
      <c r="D140" s="4" t="s">
        <v>130</v>
      </c>
      <c r="E140" s="4" t="s">
        <v>297</v>
      </c>
      <c r="F140" s="4" t="s">
        <v>296</v>
      </c>
      <c r="K140" s="8" t="s">
        <v>262</v>
      </c>
      <c r="Z140" s="6" t="s">
        <v>679</v>
      </c>
    </row>
    <row r="141" spans="1:26" ht="12.75">
      <c r="A141">
        <v>137</v>
      </c>
      <c r="B141" s="4" t="s">
        <v>99</v>
      </c>
      <c r="C141" s="4" t="s">
        <v>540</v>
      </c>
      <c r="D141" s="4" t="s">
        <v>130</v>
      </c>
      <c r="E141" s="4" t="s">
        <v>389</v>
      </c>
      <c r="F141" s="4">
        <v>0.5</v>
      </c>
      <c r="I141" s="10" t="s">
        <v>388</v>
      </c>
      <c r="K141" s="6">
        <v>-15.64</v>
      </c>
      <c r="L141" s="4">
        <v>2.63</v>
      </c>
      <c r="M141" s="4">
        <v>18901</v>
      </c>
      <c r="N141" s="4">
        <f>2*1897</f>
        <v>3794</v>
      </c>
      <c r="O141" s="4">
        <v>62.37</v>
      </c>
      <c r="P141" s="4">
        <v>0.48</v>
      </c>
      <c r="Q141" s="4">
        <v>18.61</v>
      </c>
      <c r="R141" s="10">
        <v>3.68</v>
      </c>
      <c r="T141" s="4">
        <v>0.24</v>
      </c>
      <c r="U141" s="4">
        <v>1.73</v>
      </c>
      <c r="V141" s="4">
        <v>5.43</v>
      </c>
      <c r="W141" s="10">
        <v>7.25</v>
      </c>
      <c r="Y141" s="4">
        <v>99.79</v>
      </c>
      <c r="Z141" s="4" t="s">
        <v>391</v>
      </c>
    </row>
    <row r="142" spans="1:26" ht="12.75">
      <c r="A142">
        <v>138</v>
      </c>
      <c r="B142" s="4" t="s">
        <v>561</v>
      </c>
      <c r="C142" s="4" t="s">
        <v>540</v>
      </c>
      <c r="D142" s="4" t="s">
        <v>130</v>
      </c>
      <c r="E142" s="4" t="s">
        <v>389</v>
      </c>
      <c r="F142" s="4">
        <v>0.5</v>
      </c>
      <c r="I142" s="10" t="s">
        <v>657</v>
      </c>
      <c r="K142" s="8" t="s">
        <v>311</v>
      </c>
      <c r="Z142" s="6" t="s">
        <v>151</v>
      </c>
    </row>
    <row r="143" spans="1:26" ht="12.75">
      <c r="A143">
        <v>139</v>
      </c>
      <c r="B143" s="4" t="s">
        <v>104</v>
      </c>
      <c r="C143" s="4" t="s">
        <v>540</v>
      </c>
      <c r="D143" s="4" t="s">
        <v>130</v>
      </c>
      <c r="E143" s="4" t="s">
        <v>241</v>
      </c>
      <c r="F143" s="4">
        <v>0.0001</v>
      </c>
      <c r="K143" s="6">
        <f>-13.03</f>
        <v>-13.03</v>
      </c>
      <c r="L143" s="4">
        <f>2*2.35</f>
        <v>4.7</v>
      </c>
      <c r="M143" s="4">
        <v>15503</v>
      </c>
      <c r="N143" s="4">
        <f>2*2901</f>
        <v>5802</v>
      </c>
      <c r="O143" s="4">
        <f>0.5*(66.6+65.7)</f>
        <v>66.15</v>
      </c>
      <c r="Q143" s="4">
        <f>0.5*(9.28+9.96)</f>
        <v>9.620000000000001</v>
      </c>
      <c r="R143" s="10"/>
      <c r="V143" s="4">
        <f>0.5*(20.47+20.71)</f>
        <v>20.59</v>
      </c>
      <c r="W143" s="10">
        <f>0.5*(3.65+3.63)</f>
        <v>3.6399999999999997</v>
      </c>
      <c r="Y143" s="4">
        <v>100</v>
      </c>
      <c r="Z143" s="4" t="s">
        <v>435</v>
      </c>
    </row>
    <row r="144" spans="1:26" ht="12.75">
      <c r="A144">
        <v>140</v>
      </c>
      <c r="B144" s="4" t="s">
        <v>111</v>
      </c>
      <c r="C144" s="4" t="s">
        <v>540</v>
      </c>
      <c r="D144" s="4" t="s">
        <v>83</v>
      </c>
      <c r="E144" s="4" t="s">
        <v>178</v>
      </c>
      <c r="F144" s="4">
        <v>0.0001</v>
      </c>
      <c r="K144" s="6">
        <v>-16.74</v>
      </c>
      <c r="L144" s="4">
        <f>2*2.354</f>
        <v>4.708</v>
      </c>
      <c r="M144" s="4">
        <v>15313</v>
      </c>
      <c r="N144" s="4">
        <f>2*3817</f>
        <v>7634</v>
      </c>
      <c r="O144" s="4">
        <v>69</v>
      </c>
      <c r="P144" s="4">
        <v>1.02</v>
      </c>
      <c r="Q144" s="4">
        <v>13.11</v>
      </c>
      <c r="R144" s="10">
        <v>5.3</v>
      </c>
      <c r="S144" s="4">
        <v>0.13</v>
      </c>
      <c r="T144" s="4">
        <v>1</v>
      </c>
      <c r="U144" s="4">
        <v>2.7</v>
      </c>
      <c r="V144" s="4">
        <v>4.21</v>
      </c>
      <c r="W144" s="10">
        <v>2.72</v>
      </c>
      <c r="X144" s="4">
        <v>0.24</v>
      </c>
      <c r="Y144" s="4">
        <v>99.43</v>
      </c>
      <c r="Z144" s="4" t="s">
        <v>531</v>
      </c>
    </row>
    <row r="145" spans="1:26" ht="12.75">
      <c r="A145">
        <v>141</v>
      </c>
      <c r="B145" s="4" t="s">
        <v>112</v>
      </c>
      <c r="C145" s="4" t="s">
        <v>540</v>
      </c>
      <c r="D145" s="4" t="s">
        <v>130</v>
      </c>
      <c r="E145" s="4" t="s">
        <v>322</v>
      </c>
      <c r="F145" s="4">
        <v>0.0001</v>
      </c>
      <c r="K145" s="6">
        <v>-11.98</v>
      </c>
      <c r="L145" s="4">
        <f>2*1.2434</f>
        <v>2.4868</v>
      </c>
      <c r="M145" s="4">
        <v>22660</v>
      </c>
      <c r="N145" s="4">
        <f>2*1453</f>
        <v>2906</v>
      </c>
      <c r="O145" s="4">
        <v>69.1</v>
      </c>
      <c r="Q145" s="4">
        <v>19.33</v>
      </c>
      <c r="R145" s="10"/>
      <c r="V145" s="4">
        <v>11.74</v>
      </c>
      <c r="W145" s="10">
        <v>0.022</v>
      </c>
      <c r="Y145" s="4">
        <v>100.19</v>
      </c>
      <c r="Z145" s="6" t="s">
        <v>399</v>
      </c>
    </row>
    <row r="146" spans="1:26" ht="12.75">
      <c r="A146">
        <v>142</v>
      </c>
      <c r="B146" s="4" t="s">
        <v>114</v>
      </c>
      <c r="C146" s="4" t="s">
        <v>540</v>
      </c>
      <c r="D146" s="4" t="s">
        <v>83</v>
      </c>
      <c r="E146" s="4" t="s">
        <v>230</v>
      </c>
      <c r="F146" s="4">
        <v>0.0001</v>
      </c>
      <c r="K146" s="6">
        <v>-11.22</v>
      </c>
      <c r="L146" s="4">
        <f>2*2.452</f>
        <v>4.904</v>
      </c>
      <c r="M146" s="4">
        <v>23870</v>
      </c>
      <c r="N146" s="4">
        <f>2*3731.6</f>
        <v>7463.2</v>
      </c>
      <c r="O146" s="4">
        <v>69.2</v>
      </c>
      <c r="P146" s="4">
        <v>0.44</v>
      </c>
      <c r="Q146" s="4">
        <v>10.75</v>
      </c>
      <c r="R146" s="10">
        <v>8.5</v>
      </c>
      <c r="S146" s="4">
        <v>0.3</v>
      </c>
      <c r="T146" s="4">
        <v>0.11</v>
      </c>
      <c r="U146" s="4">
        <v>0.56</v>
      </c>
      <c r="V146" s="4">
        <v>6.32</v>
      </c>
      <c r="W146" s="10">
        <v>4.14</v>
      </c>
      <c r="X146" s="4">
        <v>0.02</v>
      </c>
      <c r="Y146" s="4">
        <v>100.34</v>
      </c>
      <c r="Z146" s="4" t="s">
        <v>531</v>
      </c>
    </row>
    <row r="147" spans="1:26" ht="12.75">
      <c r="A147">
        <v>143</v>
      </c>
      <c r="B147" s="4" t="s">
        <v>120</v>
      </c>
      <c r="C147" s="4" t="s">
        <v>540</v>
      </c>
      <c r="D147" s="4" t="s">
        <v>83</v>
      </c>
      <c r="E147" s="4" t="s">
        <v>263</v>
      </c>
      <c r="F147" s="4">
        <v>0.0001</v>
      </c>
      <c r="K147" s="6">
        <v>-2.78</v>
      </c>
      <c r="L147" s="4" t="s">
        <v>256</v>
      </c>
      <c r="M147" s="4">
        <v>32455</v>
      </c>
      <c r="N147" s="4" t="s">
        <v>256</v>
      </c>
      <c r="O147" s="4">
        <v>73.01</v>
      </c>
      <c r="P147" s="4">
        <v>0.2</v>
      </c>
      <c r="Q147" s="4">
        <v>12.57</v>
      </c>
      <c r="R147" s="10">
        <v>2.71</v>
      </c>
      <c r="S147" s="4">
        <v>0.05</v>
      </c>
      <c r="T147" s="4">
        <v>0.54</v>
      </c>
      <c r="U147" s="4">
        <v>0.41</v>
      </c>
      <c r="V147" s="4">
        <v>5.05</v>
      </c>
      <c r="W147" s="10">
        <v>4.6</v>
      </c>
      <c r="Y147" s="9">
        <f>SUM(O147:X147)</f>
        <v>99.13999999999999</v>
      </c>
      <c r="Z147" s="6" t="s">
        <v>547</v>
      </c>
    </row>
    <row r="148" spans="1:27" ht="12.75">
      <c r="A148">
        <v>144</v>
      </c>
      <c r="B148" s="4" t="s">
        <v>126</v>
      </c>
      <c r="C148" s="4" t="s">
        <v>473</v>
      </c>
      <c r="D148" s="4" t="s">
        <v>83</v>
      </c>
      <c r="E148" s="4" t="s">
        <v>136</v>
      </c>
      <c r="F148" s="4">
        <v>0.0001</v>
      </c>
      <c r="I148" s="10">
        <v>0.11</v>
      </c>
      <c r="K148" s="4">
        <v>-12.48</v>
      </c>
      <c r="L148" s="4">
        <v>1.39</v>
      </c>
      <c r="M148" s="4">
        <v>22695</v>
      </c>
      <c r="N148" s="4">
        <v>1510</v>
      </c>
      <c r="O148" s="5">
        <v>76.87</v>
      </c>
      <c r="P148" s="5">
        <v>0.07</v>
      </c>
      <c r="Q148" s="5">
        <v>12.2</v>
      </c>
      <c r="R148" s="5">
        <v>0.94</v>
      </c>
      <c r="S148" s="5">
        <v>0.05</v>
      </c>
      <c r="T148" s="5">
        <v>0.05</v>
      </c>
      <c r="U148" s="5">
        <v>0.3</v>
      </c>
      <c r="V148" s="5">
        <v>4.38</v>
      </c>
      <c r="W148" s="5">
        <v>4.4</v>
      </c>
      <c r="X148" s="1"/>
      <c r="Y148" s="1">
        <v>99.26</v>
      </c>
      <c r="Z148" s="6" t="s">
        <v>206</v>
      </c>
      <c r="AA148" s="2"/>
    </row>
    <row r="149" spans="1:26" ht="12.75">
      <c r="A149">
        <v>145</v>
      </c>
      <c r="B149" s="4" t="s">
        <v>128</v>
      </c>
      <c r="C149" s="4" t="s">
        <v>540</v>
      </c>
      <c r="D149" s="4" t="s">
        <v>130</v>
      </c>
      <c r="E149" s="4" t="s">
        <v>596</v>
      </c>
      <c r="F149" s="4">
        <v>0.0001</v>
      </c>
      <c r="K149" s="6">
        <v>-13.72</v>
      </c>
      <c r="L149" s="4">
        <f>2*0.1796</f>
        <v>0.3592</v>
      </c>
      <c r="M149" s="4">
        <v>23020</v>
      </c>
      <c r="N149" s="4">
        <f>2*296.9</f>
        <v>593.8</v>
      </c>
      <c r="O149" s="4">
        <f>0.5*(79.64+79.21)</f>
        <v>79.425</v>
      </c>
      <c r="Q149" s="4">
        <f>0.5*(11.33+11.95)</f>
        <v>11.64</v>
      </c>
      <c r="R149" s="10"/>
      <c r="V149" s="4">
        <f>0.5*(4.88+4.66)</f>
        <v>4.77</v>
      </c>
      <c r="W149" s="10">
        <f>0.5*(4.15+4.18)</f>
        <v>4.165</v>
      </c>
      <c r="Y149" s="4">
        <v>100</v>
      </c>
      <c r="Z149" s="4" t="s">
        <v>435</v>
      </c>
    </row>
    <row r="150" spans="1:26" ht="12.75">
      <c r="A150">
        <v>146</v>
      </c>
      <c r="B150" s="4" t="s">
        <v>129</v>
      </c>
      <c r="C150" s="4" t="s">
        <v>540</v>
      </c>
      <c r="D150" s="4" t="s">
        <v>130</v>
      </c>
      <c r="E150" s="4" t="s">
        <v>493</v>
      </c>
      <c r="F150" s="4">
        <v>1</v>
      </c>
      <c r="I150" s="10">
        <v>3.6</v>
      </c>
      <c r="K150" s="6">
        <v>-12.79</v>
      </c>
      <c r="L150" s="4" t="s">
        <v>256</v>
      </c>
      <c r="M150" s="4">
        <v>19225</v>
      </c>
      <c r="N150" s="4" t="s">
        <v>256</v>
      </c>
      <c r="O150" s="4">
        <f>0.5*(79.64+79.21)</f>
        <v>79.425</v>
      </c>
      <c r="Q150" s="4">
        <f>0.5*(11.33+11.95)</f>
        <v>11.64</v>
      </c>
      <c r="R150" s="10"/>
      <c r="V150" s="4">
        <f>0.5*(4.88+4.66)</f>
        <v>4.77</v>
      </c>
      <c r="W150" s="10">
        <f>0.5*(4.15+4.18)</f>
        <v>4.165</v>
      </c>
      <c r="Y150" s="4">
        <v>100</v>
      </c>
      <c r="Z150" s="4" t="s">
        <v>435</v>
      </c>
    </row>
    <row r="151" spans="1:11" ht="12.75">
      <c r="A151">
        <v>147</v>
      </c>
      <c r="K151" s="8"/>
    </row>
    <row r="152" spans="1:26" ht="12.75">
      <c r="A152">
        <v>148</v>
      </c>
      <c r="B152" s="4" t="s">
        <v>100</v>
      </c>
      <c r="C152" s="4" t="s">
        <v>503</v>
      </c>
      <c r="D152" s="4" t="s">
        <v>130</v>
      </c>
      <c r="E152" s="4" t="s">
        <v>483</v>
      </c>
      <c r="F152" s="4">
        <v>1</v>
      </c>
      <c r="K152" s="6">
        <v>-4.42</v>
      </c>
      <c r="L152" s="4">
        <f>2*1.9852</f>
        <v>3.9704</v>
      </c>
      <c r="M152" s="4">
        <v>38380</v>
      </c>
      <c r="N152" s="4">
        <f>2*3399.1</f>
        <v>6798.2</v>
      </c>
      <c r="O152" s="4">
        <v>63.51</v>
      </c>
      <c r="P152" s="4">
        <v>0.56</v>
      </c>
      <c r="Q152" s="4">
        <v>17.61</v>
      </c>
      <c r="R152" s="10">
        <v>4.91</v>
      </c>
      <c r="T152" s="4">
        <v>1.68</v>
      </c>
      <c r="U152" s="4">
        <v>5.24</v>
      </c>
      <c r="V152" s="4">
        <v>4.67</v>
      </c>
      <c r="W152" s="10">
        <v>1.77</v>
      </c>
      <c r="Y152" s="4">
        <f>SUM(O152:X152)</f>
        <v>99.94999999999999</v>
      </c>
      <c r="Z152" s="6" t="s">
        <v>533</v>
      </c>
    </row>
    <row r="153" spans="1:26" ht="12.75">
      <c r="A153">
        <v>149</v>
      </c>
      <c r="B153" s="4" t="s">
        <v>104</v>
      </c>
      <c r="C153" s="4" t="s">
        <v>503</v>
      </c>
      <c r="D153" s="4" t="s">
        <v>130</v>
      </c>
      <c r="E153" s="4" t="s">
        <v>241</v>
      </c>
      <c r="F153" s="4">
        <v>0.0001</v>
      </c>
      <c r="K153" s="6">
        <v>-7.62</v>
      </c>
      <c r="L153" s="4">
        <f>2*3.4052</f>
        <v>6.8104</v>
      </c>
      <c r="M153" s="4">
        <v>27611</v>
      </c>
      <c r="N153" s="4">
        <f>2*4201.3</f>
        <v>8402.6</v>
      </c>
      <c r="O153" s="4">
        <f>0.5*(66.6+65.7)</f>
        <v>66.15</v>
      </c>
      <c r="Q153" s="4">
        <f>0.5*(9.28+9.96)</f>
        <v>9.620000000000001</v>
      </c>
      <c r="R153" s="10"/>
      <c r="V153" s="4">
        <f>0.5*(20.47+20.71)</f>
        <v>20.59</v>
      </c>
      <c r="W153" s="10">
        <f>0.5*(3.65+3.63)</f>
        <v>3.6399999999999997</v>
      </c>
      <c r="Y153" s="4">
        <v>100</v>
      </c>
      <c r="Z153" s="4" t="s">
        <v>435</v>
      </c>
    </row>
    <row r="154" spans="1:26" ht="12.75">
      <c r="A154">
        <v>150</v>
      </c>
      <c r="B154" s="4" t="s">
        <v>125</v>
      </c>
      <c r="C154" s="4" t="s">
        <v>503</v>
      </c>
      <c r="D154" s="4" t="s">
        <v>130</v>
      </c>
      <c r="E154" s="4" t="s">
        <v>517</v>
      </c>
      <c r="F154" s="4">
        <v>1</v>
      </c>
      <c r="K154" s="6">
        <v>-1.73</v>
      </c>
      <c r="L154" s="4">
        <f>2*8.2966</f>
        <v>16.5932</v>
      </c>
      <c r="M154" s="4">
        <f>48053</f>
        <v>48053</v>
      </c>
      <c r="N154" s="4">
        <f>2*13832</f>
        <v>27664</v>
      </c>
      <c r="O154" s="4">
        <v>76.37</v>
      </c>
      <c r="P154" s="4">
        <v>0.11</v>
      </c>
      <c r="Q154" s="4">
        <v>13.35</v>
      </c>
      <c r="R154" s="10">
        <v>0.79</v>
      </c>
      <c r="S154" s="4">
        <v>0.06</v>
      </c>
      <c r="T154" s="4">
        <v>0.07</v>
      </c>
      <c r="U154" s="4">
        <v>0.51</v>
      </c>
      <c r="V154" s="4">
        <v>4.31</v>
      </c>
      <c r="W154" s="10">
        <v>4.67</v>
      </c>
      <c r="Y154" s="4">
        <f>SUM(O154:X154)</f>
        <v>100.24000000000001</v>
      </c>
      <c r="Z154" s="6" t="s">
        <v>533</v>
      </c>
    </row>
    <row r="155" spans="1:26" ht="12.75">
      <c r="A155">
        <v>151</v>
      </c>
      <c r="B155" s="4" t="s">
        <v>128</v>
      </c>
      <c r="C155" s="4" t="s">
        <v>503</v>
      </c>
      <c r="D155" s="4" t="s">
        <v>131</v>
      </c>
      <c r="E155" s="4" t="s">
        <v>693</v>
      </c>
      <c r="F155" s="4">
        <v>0.0001</v>
      </c>
      <c r="K155" s="6">
        <v>-8.72</v>
      </c>
      <c r="L155" s="4">
        <f>2*0.693</f>
        <v>1.386</v>
      </c>
      <c r="M155" s="4">
        <v>38816</v>
      </c>
      <c r="N155" s="4">
        <f>2*1153.35</f>
        <v>2306.7</v>
      </c>
      <c r="O155" s="4">
        <f>(77.9+79.1)/2</f>
        <v>78.5</v>
      </c>
      <c r="Q155" s="4">
        <f>0.5*(11.89+12.07)</f>
        <v>11.98</v>
      </c>
      <c r="R155" s="10"/>
      <c r="V155" s="4">
        <f>0.5*(4.53+4.6)</f>
        <v>4.5649999999999995</v>
      </c>
      <c r="W155" s="10">
        <f>0.5*(4.17+4.23)</f>
        <v>4.2</v>
      </c>
      <c r="Y155" s="4">
        <f>SUM(O155:X155)</f>
        <v>99.245</v>
      </c>
      <c r="Z155" s="6" t="s">
        <v>507</v>
      </c>
    </row>
    <row r="156" spans="1:26" ht="12.75">
      <c r="A156">
        <v>152</v>
      </c>
      <c r="B156" s="4" t="s">
        <v>44</v>
      </c>
      <c r="C156" s="4" t="s">
        <v>45</v>
      </c>
      <c r="D156" s="4" t="s">
        <v>46</v>
      </c>
      <c r="E156" s="4" t="s">
        <v>693</v>
      </c>
      <c r="F156" s="4" t="s">
        <v>41</v>
      </c>
      <c r="K156" s="8" t="s">
        <v>47</v>
      </c>
      <c r="R156" s="10"/>
      <c r="W156" s="10"/>
      <c r="Z156" s="6" t="s">
        <v>38</v>
      </c>
    </row>
    <row r="157" spans="1:26" ht="12.75">
      <c r="A157">
        <v>153</v>
      </c>
      <c r="K157" s="6"/>
      <c r="R157" s="10"/>
      <c r="W157" s="10"/>
      <c r="Z157" s="6"/>
    </row>
    <row r="158" spans="1:26" ht="12.75">
      <c r="A158">
        <v>154</v>
      </c>
      <c r="B158" s="4" t="s">
        <v>251</v>
      </c>
      <c r="C158" s="4" t="s">
        <v>509</v>
      </c>
      <c r="D158" s="4" t="s">
        <v>581</v>
      </c>
      <c r="E158" s="4" t="s">
        <v>252</v>
      </c>
      <c r="F158" s="4">
        <v>0.0001</v>
      </c>
      <c r="K158" s="6">
        <v>11.01</v>
      </c>
      <c r="L158" s="4">
        <f>2*2.8767</f>
        <v>5.7534</v>
      </c>
      <c r="M158" s="4">
        <v>64227</v>
      </c>
      <c r="N158" s="4">
        <f>2*5043.54</f>
        <v>10087.08</v>
      </c>
      <c r="O158" s="4">
        <v>36.205612628718285</v>
      </c>
      <c r="Q158" s="4">
        <v>30</v>
      </c>
      <c r="R158" s="10"/>
      <c r="U158" s="4">
        <v>33.794387371281715</v>
      </c>
      <c r="W158" s="10"/>
      <c r="Y158" s="4">
        <v>100</v>
      </c>
      <c r="Z158" s="6" t="s">
        <v>293</v>
      </c>
    </row>
    <row r="159" spans="1:26" ht="12.75">
      <c r="A159">
        <v>155</v>
      </c>
      <c r="B159" s="4" t="s">
        <v>70</v>
      </c>
      <c r="C159" s="4" t="s">
        <v>509</v>
      </c>
      <c r="D159" s="4" t="s">
        <v>581</v>
      </c>
      <c r="E159" s="4" t="s">
        <v>313</v>
      </c>
      <c r="F159" s="4" t="s">
        <v>305</v>
      </c>
      <c r="I159" s="10" t="s">
        <v>314</v>
      </c>
      <c r="K159" s="6">
        <v>-5.75</v>
      </c>
      <c r="L159" s="4">
        <f>2*0.853</f>
        <v>1.706</v>
      </c>
      <c r="M159" s="4">
        <v>31293</v>
      </c>
      <c r="N159" s="4">
        <f>2*1299.53</f>
        <v>2599.06</v>
      </c>
      <c r="O159" s="13">
        <v>49.12147581280788</v>
      </c>
      <c r="P159" s="13">
        <v>1.6171726600985223</v>
      </c>
      <c r="Q159" s="13">
        <v>11.593280886699507</v>
      </c>
      <c r="R159" s="13">
        <v>12.26230662561576</v>
      </c>
      <c r="S159" s="13">
        <v>0.2026257389162563</v>
      </c>
      <c r="T159" s="13">
        <v>10.441963448275866</v>
      </c>
      <c r="U159" s="13">
        <v>11.203866945812807</v>
      </c>
      <c r="V159" s="13">
        <v>2.245383719211822</v>
      </c>
      <c r="W159" s="13">
        <v>0.14542485221674878</v>
      </c>
      <c r="X159" s="13">
        <v>0.10039834975369465</v>
      </c>
      <c r="Y159" s="13">
        <v>98.93389903940886</v>
      </c>
      <c r="Z159" s="4" t="s">
        <v>87</v>
      </c>
    </row>
    <row r="160" spans="1:26" ht="12.75">
      <c r="A160">
        <v>156</v>
      </c>
      <c r="B160" s="4" t="s">
        <v>48</v>
      </c>
      <c r="C160" s="4" t="s">
        <v>509</v>
      </c>
      <c r="D160" s="4" t="s">
        <v>581</v>
      </c>
      <c r="E160" s="4" t="s">
        <v>416</v>
      </c>
      <c r="F160" s="4" t="s">
        <v>255</v>
      </c>
      <c r="I160" s="10">
        <v>0.04</v>
      </c>
      <c r="K160" s="6">
        <v>-2.52</v>
      </c>
      <c r="L160" s="4">
        <f>2*2.4753</f>
        <v>4.9506</v>
      </c>
      <c r="M160" s="4">
        <v>37649</v>
      </c>
      <c r="N160" s="4">
        <f>2*2924</f>
        <v>5848</v>
      </c>
      <c r="O160" s="4">
        <v>54.735858823529405</v>
      </c>
      <c r="P160" s="4">
        <v>1.162643529411765</v>
      </c>
      <c r="Q160" s="4">
        <v>15.575211764705884</v>
      </c>
      <c r="R160" s="10">
        <v>7.676785882352941</v>
      </c>
      <c r="S160" s="4">
        <v>0.12143458230350965</v>
      </c>
      <c r="T160" s="4">
        <v>7.944178823529412</v>
      </c>
      <c r="U160" s="4">
        <v>8.122371764705884</v>
      </c>
      <c r="V160" s="4">
        <v>3.145425687922228</v>
      </c>
      <c r="W160" s="10">
        <v>1.3236256022408965</v>
      </c>
      <c r="X160" s="4">
        <v>0.3483659515570934</v>
      </c>
      <c r="Y160" s="4">
        <v>100.15590241225901</v>
      </c>
      <c r="Z160" s="6" t="s">
        <v>549</v>
      </c>
    </row>
    <row r="161" spans="1:26" ht="12.75">
      <c r="A161">
        <v>157</v>
      </c>
      <c r="B161" s="4" t="s">
        <v>184</v>
      </c>
      <c r="C161" s="4" t="s">
        <v>509</v>
      </c>
      <c r="D161" s="4" t="s">
        <v>581</v>
      </c>
      <c r="E161" s="4" t="s">
        <v>185</v>
      </c>
      <c r="F161" s="4">
        <v>0.2</v>
      </c>
      <c r="K161" s="6">
        <v>-3.76</v>
      </c>
      <c r="L161" s="4">
        <f>2*4.6251</f>
        <v>9.2502</v>
      </c>
      <c r="M161" s="4">
        <v>35624</v>
      </c>
      <c r="N161" s="4">
        <f>2*8606</f>
        <v>17212</v>
      </c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4" t="s">
        <v>424</v>
      </c>
    </row>
    <row r="162" spans="1:26" ht="12.75">
      <c r="A162">
        <v>158</v>
      </c>
      <c r="B162" s="4" t="s">
        <v>106</v>
      </c>
      <c r="C162" s="4" t="s">
        <v>509</v>
      </c>
      <c r="D162" s="4" t="s">
        <v>581</v>
      </c>
      <c r="F162" s="4">
        <v>1</v>
      </c>
      <c r="I162" s="10">
        <v>3</v>
      </c>
      <c r="K162" s="6">
        <v>-15.69</v>
      </c>
      <c r="L162" s="4">
        <f>2*5.7187</f>
        <v>11.4374</v>
      </c>
      <c r="M162" s="4">
        <v>17319</v>
      </c>
      <c r="N162" s="4">
        <f>2*8595.49</f>
        <v>17190.98</v>
      </c>
      <c r="O162" s="13">
        <f>0.5*(61.47+73.61)</f>
        <v>67.53999999999999</v>
      </c>
      <c r="P162" s="13">
        <f>0.5*(0.53+0.11)</f>
        <v>0.32</v>
      </c>
      <c r="Q162" s="13">
        <f>0.5*(17.02+12.65)</f>
        <v>14.835</v>
      </c>
      <c r="R162" s="13">
        <f>0.5*(4.64+0.67)</f>
        <v>2.655</v>
      </c>
      <c r="S162" s="13">
        <f>0.5*(0+0.08)</f>
        <v>0.04</v>
      </c>
      <c r="T162" s="13">
        <f>0.5*(1.64+0.06)</f>
        <v>0.85</v>
      </c>
      <c r="U162" s="13">
        <f>0.5*(5.05+0.52)</f>
        <v>2.785</v>
      </c>
      <c r="V162" s="13">
        <f>0.5*(7.31+6.87)</f>
        <v>7.09</v>
      </c>
      <c r="W162" s="13">
        <f>0.5*(1.71+4.54)</f>
        <v>3.125</v>
      </c>
      <c r="X162" s="13"/>
      <c r="Y162" s="13">
        <f>SUM(O162:X162)</f>
        <v>99.24</v>
      </c>
      <c r="Z162" s="6" t="s">
        <v>362</v>
      </c>
    </row>
    <row r="163" spans="1:26" ht="12.75">
      <c r="A163">
        <v>159</v>
      </c>
      <c r="B163" s="4" t="s">
        <v>106</v>
      </c>
      <c r="C163" s="4" t="s">
        <v>509</v>
      </c>
      <c r="D163" s="4" t="s">
        <v>581</v>
      </c>
      <c r="F163" s="4">
        <v>1</v>
      </c>
      <c r="I163" s="10">
        <v>6</v>
      </c>
      <c r="K163" s="6">
        <v>-18.5</v>
      </c>
      <c r="L163" s="4">
        <f>2*0.589</f>
        <v>1.178</v>
      </c>
      <c r="M163" s="4">
        <v>12809</v>
      </c>
      <c r="N163" s="4">
        <f>2*871.4</f>
        <v>1742.8</v>
      </c>
      <c r="O163" s="13">
        <f>0.5*(61.47+73.61)</f>
        <v>67.53999999999999</v>
      </c>
      <c r="P163" s="13">
        <f>0.5*(0.53+0.11)</f>
        <v>0.32</v>
      </c>
      <c r="Q163" s="13">
        <f>0.5*(17.02+12.65)</f>
        <v>14.835</v>
      </c>
      <c r="R163" s="13">
        <f>0.5*(4.64+0.67)</f>
        <v>2.655</v>
      </c>
      <c r="S163" s="13">
        <f>0.5*(0+0.08)</f>
        <v>0.04</v>
      </c>
      <c r="T163" s="13">
        <f>0.5*(1.64+0.06)</f>
        <v>0.85</v>
      </c>
      <c r="U163" s="13">
        <f>0.5*(5.05+0.52)</f>
        <v>2.785</v>
      </c>
      <c r="V163" s="13">
        <f>0.5*(7.31+6.87)</f>
        <v>7.09</v>
      </c>
      <c r="W163" s="13">
        <f>0.5*(1.71+4.54)</f>
        <v>3.125</v>
      </c>
      <c r="X163" s="13"/>
      <c r="Y163" s="13">
        <f>SUM(O163:X163)</f>
        <v>99.24</v>
      </c>
      <c r="Z163" s="6" t="s">
        <v>362</v>
      </c>
    </row>
    <row r="164" spans="1:27" ht="12.75">
      <c r="A164">
        <v>160</v>
      </c>
      <c r="B164" s="4" t="s">
        <v>118</v>
      </c>
      <c r="C164" s="4" t="s">
        <v>509</v>
      </c>
      <c r="D164" s="4" t="s">
        <v>581</v>
      </c>
      <c r="F164" s="4" t="s">
        <v>271</v>
      </c>
      <c r="K164" s="6">
        <v>-17.5</v>
      </c>
      <c r="L164" s="4">
        <f>2*1.22</f>
        <v>2.44</v>
      </c>
      <c r="M164" s="4">
        <v>21009</v>
      </c>
      <c r="N164" s="4">
        <f>2*1852</f>
        <v>3704</v>
      </c>
      <c r="O164" s="10">
        <f>0.5*(63.51+76.37)</f>
        <v>69.94</v>
      </c>
      <c r="P164" s="10">
        <f>0.5*(0.56+0.11)</f>
        <v>0.335</v>
      </c>
      <c r="Q164" s="10">
        <f>0.5*(17.61+13.35)</f>
        <v>15.48</v>
      </c>
      <c r="R164" s="10">
        <f>0.5*(4.91+0.79)</f>
        <v>2.85</v>
      </c>
      <c r="S164" s="10">
        <f>0.5*(0+0.06)</f>
        <v>0.03</v>
      </c>
      <c r="T164" s="10">
        <f>0.5*(1.68+0.07)</f>
        <v>0.875</v>
      </c>
      <c r="U164" s="10">
        <f>0.5*(5.24+0.51)</f>
        <v>2.875</v>
      </c>
      <c r="V164" s="10">
        <f>0.5*(4.67+4.31)</f>
        <v>4.49</v>
      </c>
      <c r="W164" s="10">
        <f>0.5*(0.77+4.67)</f>
        <v>2.7199999999999998</v>
      </c>
      <c r="X164" s="10">
        <v>0</v>
      </c>
      <c r="Y164" s="10">
        <f>0.5*(99.55+100.24)</f>
        <v>99.895</v>
      </c>
      <c r="Z164" s="6" t="s">
        <v>419</v>
      </c>
      <c r="AA164" s="2"/>
    </row>
    <row r="165" spans="1:27" ht="12.75">
      <c r="A165">
        <v>161</v>
      </c>
      <c r="B165" s="4" t="s">
        <v>119</v>
      </c>
      <c r="C165" s="4" t="s">
        <v>509</v>
      </c>
      <c r="D165" s="4" t="s">
        <v>581</v>
      </c>
      <c r="F165" s="4" t="s">
        <v>254</v>
      </c>
      <c r="K165" s="6">
        <v>-14.73</v>
      </c>
      <c r="L165" s="4">
        <f>2*8.267</f>
        <v>16.534</v>
      </c>
      <c r="M165" s="4">
        <v>23904</v>
      </c>
      <c r="N165" s="4">
        <f>2*10161.4</f>
        <v>20322.8</v>
      </c>
      <c r="O165" s="10">
        <f>0.5*(71.56+73.61)</f>
        <v>72.58500000000001</v>
      </c>
      <c r="P165" s="10">
        <f>0.5*(0.26+0.11)</f>
        <v>0.185</v>
      </c>
      <c r="Q165" s="10">
        <f>0.5*(7.69+12.65)</f>
        <v>10.17</v>
      </c>
      <c r="R165" s="10">
        <f>0.5*(8.06+0.67)</f>
        <v>4.365</v>
      </c>
      <c r="S165" s="10">
        <f>0.5*(0.32+0.08)</f>
        <v>0.2</v>
      </c>
      <c r="T165" s="10">
        <f>0.5*(0.01+0.06)</f>
        <v>0.034999999999999996</v>
      </c>
      <c r="U165" s="10">
        <f>0.5*(0.27+0.52)</f>
        <v>0.395</v>
      </c>
      <c r="V165" s="10">
        <f>0.5*(7.11+6.87)</f>
        <v>6.99</v>
      </c>
      <c r="W165" s="10">
        <f>0.5*(4.25+4.54)</f>
        <v>4.395</v>
      </c>
      <c r="X165" s="13">
        <v>0</v>
      </c>
      <c r="Y165" s="13">
        <f>SUM(O165:X165)</f>
        <v>99.32</v>
      </c>
      <c r="Z165" s="6" t="s">
        <v>419</v>
      </c>
      <c r="AA165" s="2"/>
    </row>
    <row r="166" spans="1:27" ht="12.75">
      <c r="A166">
        <v>162</v>
      </c>
      <c r="B166" s="4" t="s">
        <v>119</v>
      </c>
      <c r="C166" s="4" t="s">
        <v>509</v>
      </c>
      <c r="D166" s="4" t="s">
        <v>581</v>
      </c>
      <c r="F166" s="4">
        <v>0.2</v>
      </c>
      <c r="K166" s="6">
        <v>-4.24</v>
      </c>
      <c r="L166" s="4">
        <f>2*1.676</f>
        <v>3.352</v>
      </c>
      <c r="M166" s="4">
        <v>38839</v>
      </c>
      <c r="N166" s="4">
        <f>2*2286.6</f>
        <v>4573.2</v>
      </c>
      <c r="O166" s="10">
        <f>0.5*(71.56+73.61)</f>
        <v>72.58500000000001</v>
      </c>
      <c r="P166" s="10">
        <f>0.5*(0.26+0.11)</f>
        <v>0.185</v>
      </c>
      <c r="Q166" s="10">
        <f>0.5*(7.69+12.65)</f>
        <v>10.17</v>
      </c>
      <c r="R166" s="10">
        <f>0.5*(8.06+0.67)</f>
        <v>4.365</v>
      </c>
      <c r="S166" s="10">
        <f>0.5*(0.32+0.08)</f>
        <v>0.2</v>
      </c>
      <c r="T166" s="10">
        <f>0.5*(0.01+0.06)</f>
        <v>0.034999999999999996</v>
      </c>
      <c r="U166" s="10">
        <f>0.5*(0.27+0.52)</f>
        <v>0.395</v>
      </c>
      <c r="V166" s="10">
        <f>0.5*(7.11+6.87)</f>
        <v>6.99</v>
      </c>
      <c r="W166" s="10">
        <f>0.5*(4.25+4.54)</f>
        <v>4.395</v>
      </c>
      <c r="X166" s="13">
        <v>0</v>
      </c>
      <c r="Y166" s="13">
        <f>SUM(O166:X166)</f>
        <v>99.32</v>
      </c>
      <c r="Z166" s="6" t="s">
        <v>419</v>
      </c>
      <c r="AA166" s="2"/>
    </row>
    <row r="167" spans="1:27" ht="12.75">
      <c r="A167">
        <v>163</v>
      </c>
      <c r="B167" s="4" t="s">
        <v>119</v>
      </c>
      <c r="C167" s="4" t="s">
        <v>509</v>
      </c>
      <c r="D167" s="4" t="s">
        <v>581</v>
      </c>
      <c r="F167" s="4">
        <v>1</v>
      </c>
      <c r="K167" s="6">
        <v>-23.71</v>
      </c>
      <c r="L167" s="4">
        <f>2*1.87</f>
        <v>3.74</v>
      </c>
      <c r="M167" s="4">
        <v>10437</v>
      </c>
      <c r="N167" s="4">
        <f>2*2765.6</f>
        <v>5531.2</v>
      </c>
      <c r="O167" s="10">
        <f>0.5*(71.56+73.61)</f>
        <v>72.58500000000001</v>
      </c>
      <c r="P167" s="10">
        <f>0.5*(0.26+0.11)</f>
        <v>0.185</v>
      </c>
      <c r="Q167" s="10">
        <f>0.5*(7.69+12.65)</f>
        <v>10.17</v>
      </c>
      <c r="R167" s="10">
        <f>0.5*(8.06+0.67)</f>
        <v>4.365</v>
      </c>
      <c r="S167" s="10">
        <f>0.5*(0.32+0.08)</f>
        <v>0.2</v>
      </c>
      <c r="T167" s="10">
        <f>0.5*(0.01+0.06)</f>
        <v>0.034999999999999996</v>
      </c>
      <c r="U167" s="10">
        <f>0.5*(0.27+0.52)</f>
        <v>0.395</v>
      </c>
      <c r="V167" s="10">
        <f>0.5*(7.11+6.87)</f>
        <v>6.99</v>
      </c>
      <c r="W167" s="10">
        <f>0.5*(4.25+4.54)</f>
        <v>4.395</v>
      </c>
      <c r="X167" s="13">
        <v>0</v>
      </c>
      <c r="Y167" s="13">
        <f>SUM(O167:X167)</f>
        <v>99.32</v>
      </c>
      <c r="Z167" s="6" t="s">
        <v>419</v>
      </c>
      <c r="AA167" s="2"/>
    </row>
    <row r="168" spans="1:27" ht="12.75">
      <c r="A168">
        <v>164</v>
      </c>
      <c r="B168" s="4" t="s">
        <v>49</v>
      </c>
      <c r="C168" s="4" t="s">
        <v>50</v>
      </c>
      <c r="D168" s="4" t="s">
        <v>279</v>
      </c>
      <c r="K168" s="8" t="s">
        <v>52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3"/>
      <c r="Y168" s="13"/>
      <c r="Z168" s="6" t="s">
        <v>38</v>
      </c>
      <c r="AA168" s="2"/>
    </row>
    <row r="169" spans="1:11" ht="12.75">
      <c r="A169">
        <v>165</v>
      </c>
      <c r="K169" s="6"/>
    </row>
    <row r="170" spans="1:27" ht="12.75">
      <c r="A170">
        <v>166</v>
      </c>
      <c r="B170" s="4" t="s">
        <v>100</v>
      </c>
      <c r="C170" s="4" t="s">
        <v>462</v>
      </c>
      <c r="D170" s="4" t="s">
        <v>83</v>
      </c>
      <c r="E170" s="4" t="s">
        <v>493</v>
      </c>
      <c r="F170" s="4">
        <v>1</v>
      </c>
      <c r="K170" s="6">
        <v>-8.09</v>
      </c>
      <c r="L170" s="4">
        <f>2*2.644</f>
        <v>5.288</v>
      </c>
      <c r="M170" s="4">
        <v>32212</v>
      </c>
      <c r="N170" s="4">
        <f>2*4527</f>
        <v>9054</v>
      </c>
      <c r="O170" s="4">
        <v>63.51</v>
      </c>
      <c r="P170" s="4">
        <v>0.56</v>
      </c>
      <c r="Q170" s="4">
        <v>17.61</v>
      </c>
      <c r="R170" s="10">
        <v>4.91</v>
      </c>
      <c r="T170" s="4">
        <v>1.68</v>
      </c>
      <c r="U170" s="4">
        <v>5.24</v>
      </c>
      <c r="V170" s="4">
        <v>4.67</v>
      </c>
      <c r="W170" s="10">
        <v>1.77</v>
      </c>
      <c r="Y170" s="4">
        <f>SUM(O170:X170)</f>
        <v>99.94999999999999</v>
      </c>
      <c r="Z170" s="14" t="s">
        <v>533</v>
      </c>
      <c r="AA170" t="s">
        <v>63</v>
      </c>
    </row>
    <row r="171" spans="1:27" ht="12.75">
      <c r="A171">
        <v>167</v>
      </c>
      <c r="B171" s="4" t="s">
        <v>112</v>
      </c>
      <c r="C171" s="4" t="s">
        <v>462</v>
      </c>
      <c r="D171" s="4" t="s">
        <v>83</v>
      </c>
      <c r="E171" s="4" t="s">
        <v>576</v>
      </c>
      <c r="F171" s="4">
        <v>0.0001</v>
      </c>
      <c r="K171" s="6">
        <v>-0.24</v>
      </c>
      <c r="L171" s="4">
        <f>2*3.4087</f>
        <v>6.8174</v>
      </c>
      <c r="M171" s="4">
        <v>-52490</v>
      </c>
      <c r="N171" s="4">
        <f>5502*2</f>
        <v>11004</v>
      </c>
      <c r="O171" s="4">
        <v>69.14</v>
      </c>
      <c r="Q171" s="4">
        <v>19.26</v>
      </c>
      <c r="R171" s="10"/>
      <c r="V171" s="4">
        <v>11.42</v>
      </c>
      <c r="W171" s="10"/>
      <c r="Y171" s="4">
        <v>99.82</v>
      </c>
      <c r="Z171" s="14" t="s">
        <v>333</v>
      </c>
      <c r="AA171" t="s">
        <v>63</v>
      </c>
    </row>
    <row r="172" spans="1:27" ht="12.75">
      <c r="A172">
        <v>168</v>
      </c>
      <c r="B172" s="4" t="s">
        <v>125</v>
      </c>
      <c r="C172" s="4" t="s">
        <v>462</v>
      </c>
      <c r="D172" s="4" t="s">
        <v>83</v>
      </c>
      <c r="E172" s="4" t="s">
        <v>493</v>
      </c>
      <c r="F172" s="4">
        <v>1</v>
      </c>
      <c r="K172" s="6">
        <v>-4.27</v>
      </c>
      <c r="L172" s="4">
        <f>2*0.9368</f>
        <v>1.8736</v>
      </c>
      <c r="M172" s="4">
        <v>41689</v>
      </c>
      <c r="N172" s="4">
        <f>2*1604</f>
        <v>3208</v>
      </c>
      <c r="O172" s="4">
        <v>76.37</v>
      </c>
      <c r="P172" s="4">
        <v>0.11</v>
      </c>
      <c r="Q172" s="4">
        <v>13.35</v>
      </c>
      <c r="R172" s="10">
        <v>0.79</v>
      </c>
      <c r="S172" s="4">
        <v>0.06</v>
      </c>
      <c r="T172" s="4">
        <v>0.07</v>
      </c>
      <c r="U172" s="4">
        <v>0.51</v>
      </c>
      <c r="V172" s="4">
        <v>4.31</v>
      </c>
      <c r="W172" s="10">
        <v>4.67</v>
      </c>
      <c r="Y172" s="4">
        <f>SUM(O172:X172)</f>
        <v>100.24000000000001</v>
      </c>
      <c r="Z172" s="14" t="s">
        <v>533</v>
      </c>
      <c r="AA172" t="s">
        <v>63</v>
      </c>
    </row>
    <row r="173" spans="1:11" ht="12.75">
      <c r="A173">
        <v>169</v>
      </c>
      <c r="K173" s="6"/>
    </row>
    <row r="174" spans="1:27" ht="12.75">
      <c r="A174">
        <v>170</v>
      </c>
      <c r="B174" s="4" t="s">
        <v>160</v>
      </c>
      <c r="C174" s="4" t="s">
        <v>530</v>
      </c>
      <c r="D174" s="4" t="s">
        <v>130</v>
      </c>
      <c r="E174" s="4" t="s">
        <v>603</v>
      </c>
      <c r="F174" s="4">
        <v>0.0001</v>
      </c>
      <c r="K174" s="4">
        <v>3.74</v>
      </c>
      <c r="L174" s="4">
        <v>15.92</v>
      </c>
      <c r="M174" s="4">
        <v>45880</v>
      </c>
      <c r="N174" s="4">
        <f>2*12514.6</f>
        <v>25029.2</v>
      </c>
      <c r="O174" s="4">
        <v>48.8</v>
      </c>
      <c r="Q174" s="4">
        <v>15.6</v>
      </c>
      <c r="R174" s="10"/>
      <c r="T174" s="4">
        <v>10.7</v>
      </c>
      <c r="U174" s="4">
        <v>24.6</v>
      </c>
      <c r="W174" s="10"/>
      <c r="Y174" s="4">
        <v>99.8</v>
      </c>
      <c r="Z174" s="4" t="s">
        <v>593</v>
      </c>
      <c r="AA174" s="2"/>
    </row>
    <row r="175" spans="1:27" ht="12.75">
      <c r="A175">
        <v>171</v>
      </c>
      <c r="B175" s="4" t="s">
        <v>164</v>
      </c>
      <c r="C175" s="4" t="s">
        <v>530</v>
      </c>
      <c r="D175" s="4" t="s">
        <v>130</v>
      </c>
      <c r="E175" s="4" t="s">
        <v>604</v>
      </c>
      <c r="F175" s="4">
        <v>0.0001</v>
      </c>
      <c r="K175" s="4">
        <v>5.06</v>
      </c>
      <c r="L175" s="4">
        <f>2*8.4528</f>
        <v>16.9056</v>
      </c>
      <c r="M175" s="4">
        <v>43579</v>
      </c>
      <c r="N175" s="4">
        <f>2*12939.2</f>
        <v>25878.4</v>
      </c>
      <c r="O175" s="4">
        <v>54.5</v>
      </c>
      <c r="Q175" s="4">
        <v>15.8</v>
      </c>
      <c r="R175" s="10"/>
      <c r="T175" s="4">
        <v>12.1</v>
      </c>
      <c r="U175" s="4">
        <v>0.5</v>
      </c>
      <c r="V175" s="4">
        <v>17.6</v>
      </c>
      <c r="W175" s="10"/>
      <c r="Y175" s="4">
        <v>100.5</v>
      </c>
      <c r="Z175" s="4" t="s">
        <v>593</v>
      </c>
      <c r="AA175" s="2"/>
    </row>
    <row r="176" spans="1:26" ht="12.75">
      <c r="A176">
        <v>172</v>
      </c>
      <c r="B176" s="6"/>
      <c r="C176" s="6"/>
      <c r="D176" s="6"/>
      <c r="E176" s="6"/>
      <c r="F176" s="6"/>
      <c r="G176" s="6"/>
      <c r="H176" s="6"/>
      <c r="I176" s="13"/>
      <c r="J176" s="6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>
      <c r="A177">
        <v>173</v>
      </c>
      <c r="B177" s="6" t="s">
        <v>701</v>
      </c>
      <c r="C177" s="6" t="s">
        <v>636</v>
      </c>
      <c r="D177" s="6" t="s">
        <v>150</v>
      </c>
      <c r="E177" s="6" t="s">
        <v>568</v>
      </c>
      <c r="F177" s="6" t="s">
        <v>562</v>
      </c>
      <c r="G177" s="6"/>
      <c r="H177" s="6"/>
      <c r="I177" s="13" t="s">
        <v>563</v>
      </c>
      <c r="J177" s="6"/>
      <c r="K177" s="11" t="s">
        <v>602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 t="s">
        <v>634</v>
      </c>
    </row>
    <row r="178" spans="1:26" ht="12.75">
      <c r="A178">
        <v>174</v>
      </c>
      <c r="R178" s="10"/>
      <c r="W178" s="10"/>
      <c r="Z178" s="4"/>
    </row>
    <row r="179" spans="1:26" ht="12.75">
      <c r="A179">
        <v>175</v>
      </c>
      <c r="B179" s="4" t="s">
        <v>329</v>
      </c>
      <c r="C179" s="4" t="s">
        <v>465</v>
      </c>
      <c r="D179" s="4" t="s">
        <v>330</v>
      </c>
      <c r="E179" s="4">
        <v>1748</v>
      </c>
      <c r="F179" s="4">
        <v>1</v>
      </c>
      <c r="K179" s="8" t="s">
        <v>247</v>
      </c>
      <c r="R179" s="10"/>
      <c r="W179" s="10"/>
      <c r="Z179" s="4" t="s">
        <v>88</v>
      </c>
    </row>
    <row r="180" spans="1:26" ht="12.75">
      <c r="A180">
        <v>176</v>
      </c>
      <c r="B180" s="4" t="s">
        <v>329</v>
      </c>
      <c r="C180" s="4" t="s">
        <v>465</v>
      </c>
      <c r="D180" s="4" t="s">
        <v>581</v>
      </c>
      <c r="E180" s="4" t="s">
        <v>517</v>
      </c>
      <c r="F180" s="4">
        <v>1</v>
      </c>
      <c r="I180" s="10">
        <v>0.8</v>
      </c>
      <c r="K180" s="8" t="s">
        <v>246</v>
      </c>
      <c r="O180" s="6"/>
      <c r="P180" s="6"/>
      <c r="Q180" s="6"/>
      <c r="R180" s="13"/>
      <c r="S180" s="6"/>
      <c r="T180" s="6"/>
      <c r="U180" s="6"/>
      <c r="V180" s="6"/>
      <c r="W180" s="13"/>
      <c r="X180" s="6"/>
      <c r="Y180" s="6"/>
      <c r="Z180" s="6" t="s">
        <v>544</v>
      </c>
    </row>
    <row r="181" spans="1:26" ht="12.75">
      <c r="A181">
        <v>177</v>
      </c>
      <c r="B181" s="4" t="s">
        <v>329</v>
      </c>
      <c r="C181" s="4" t="s">
        <v>465</v>
      </c>
      <c r="D181" s="4" t="s">
        <v>581</v>
      </c>
      <c r="E181" s="4" t="s">
        <v>426</v>
      </c>
      <c r="F181" s="4">
        <v>1</v>
      </c>
      <c r="I181" s="10" t="s">
        <v>397</v>
      </c>
      <c r="J181" s="4" t="s">
        <v>281</v>
      </c>
      <c r="K181" s="8" t="s">
        <v>245</v>
      </c>
      <c r="O181" s="6"/>
      <c r="P181" s="6"/>
      <c r="Q181" s="6"/>
      <c r="R181" s="13"/>
      <c r="S181" s="6"/>
      <c r="T181" s="6"/>
      <c r="U181" s="6"/>
      <c r="V181" s="6"/>
      <c r="W181" s="13"/>
      <c r="X181" s="6"/>
      <c r="Y181" s="6"/>
      <c r="Z181" s="6" t="s">
        <v>544</v>
      </c>
    </row>
    <row r="182" spans="1:26" ht="12.75">
      <c r="A182">
        <v>178</v>
      </c>
      <c r="B182" s="4" t="s">
        <v>159</v>
      </c>
      <c r="C182" s="4" t="s">
        <v>465</v>
      </c>
      <c r="D182" s="4" t="s">
        <v>66</v>
      </c>
      <c r="E182" s="4" t="s">
        <v>651</v>
      </c>
      <c r="F182" s="4">
        <v>1</v>
      </c>
      <c r="K182" s="4">
        <v>-12.79</v>
      </c>
      <c r="L182" s="4">
        <f>2*0.1372</f>
        <v>0.2744</v>
      </c>
      <c r="M182" s="4">
        <v>20119</v>
      </c>
      <c r="N182" s="4">
        <f>2*235.87</f>
        <v>471.74</v>
      </c>
      <c r="O182" s="4">
        <f>0.5*(48.2+48.8)</f>
        <v>48.5</v>
      </c>
      <c r="P182" s="4">
        <f>0.5*(2.3+3.1)</f>
        <v>2.7</v>
      </c>
      <c r="Q182" s="4">
        <f>0.5*(14+13.6)</f>
        <v>13.8</v>
      </c>
      <c r="R182" s="10">
        <f>0.5*(12.7+12.6)</f>
        <v>12.649999999999999</v>
      </c>
      <c r="T182" s="4">
        <f>0.5*(8.1+7)</f>
        <v>7.55</v>
      </c>
      <c r="U182" s="4">
        <f>0.5*(11.1+10.7)</f>
        <v>10.899999999999999</v>
      </c>
      <c r="V182" s="4">
        <f>0.5*(2.5+2.5)</f>
        <v>2.5</v>
      </c>
      <c r="W182" s="10">
        <f>0.5*(0.48+0.34)</f>
        <v>0.41000000000000003</v>
      </c>
      <c r="Y182" s="4">
        <f>0.5*(99.38+98.64)</f>
        <v>99.00999999999999</v>
      </c>
      <c r="Z182" s="14" t="s">
        <v>275</v>
      </c>
    </row>
    <row r="183" spans="1:26" ht="12.75">
      <c r="A183">
        <v>179</v>
      </c>
      <c r="B183" s="4" t="s">
        <v>161</v>
      </c>
      <c r="C183" s="4" t="s">
        <v>628</v>
      </c>
      <c r="D183" s="4" t="s">
        <v>279</v>
      </c>
      <c r="E183" s="4" t="s">
        <v>442</v>
      </c>
      <c r="F183" s="4" t="s">
        <v>627</v>
      </c>
      <c r="K183" s="4">
        <v>-5.52</v>
      </c>
      <c r="L183" s="4">
        <f>2*1.74</f>
        <v>3.48</v>
      </c>
      <c r="M183" s="4">
        <v>31586</v>
      </c>
      <c r="N183" s="4">
        <f>2*2905</f>
        <v>5810</v>
      </c>
      <c r="O183">
        <v>48.9815</v>
      </c>
      <c r="P183">
        <v>1.798</v>
      </c>
      <c r="Q183">
        <v>13.0325</v>
      </c>
      <c r="R183">
        <v>12.4</v>
      </c>
      <c r="S183">
        <v>0.2</v>
      </c>
      <c r="T183">
        <v>8.818</v>
      </c>
      <c r="U183">
        <v>10.8975</v>
      </c>
      <c r="V183">
        <v>2.45</v>
      </c>
      <c r="W183">
        <v>0.15</v>
      </c>
      <c r="X183">
        <v>0.1</v>
      </c>
      <c r="Y183" s="20">
        <f>SUM(O183:X183)</f>
        <v>98.8275</v>
      </c>
      <c r="Z183" s="15" t="s">
        <v>534</v>
      </c>
    </row>
    <row r="184" spans="1:27" s="2" customFormat="1" ht="12.75">
      <c r="A184">
        <v>180</v>
      </c>
      <c r="B184" s="4" t="s">
        <v>65</v>
      </c>
      <c r="C184" s="4" t="s">
        <v>465</v>
      </c>
      <c r="D184" s="4" t="s">
        <v>652</v>
      </c>
      <c r="E184" s="4" t="s">
        <v>189</v>
      </c>
      <c r="F184" s="4" t="s">
        <v>653</v>
      </c>
      <c r="G184" s="4"/>
      <c r="H184" s="4"/>
      <c r="I184" s="10"/>
      <c r="J184" s="4"/>
      <c r="K184" s="4">
        <v>-9.33</v>
      </c>
      <c r="L184" s="4">
        <f>2*1.5228</f>
        <v>3.0456</v>
      </c>
      <c r="M184" s="4">
        <v>25356</v>
      </c>
      <c r="N184" s="4">
        <f>2*2563</f>
        <v>5126</v>
      </c>
      <c r="O184" s="4"/>
      <c r="P184" s="4"/>
      <c r="Q184" s="4"/>
      <c r="R184" s="10"/>
      <c r="S184" s="4"/>
      <c r="T184" s="4"/>
      <c r="U184" s="4"/>
      <c r="V184" s="4"/>
      <c r="W184" s="10"/>
      <c r="X184" s="4"/>
      <c r="Y184" s="4"/>
      <c r="Z184" s="6" t="s">
        <v>151</v>
      </c>
      <c r="AA184"/>
    </row>
    <row r="185" spans="1:27" s="2" customFormat="1" ht="12.75">
      <c r="A185">
        <v>181</v>
      </c>
      <c r="B185" s="4" t="s">
        <v>169</v>
      </c>
      <c r="C185" s="4" t="s">
        <v>465</v>
      </c>
      <c r="D185" s="4" t="s">
        <v>66</v>
      </c>
      <c r="E185" s="4" t="s">
        <v>208</v>
      </c>
      <c r="F185" s="19" t="s">
        <v>616</v>
      </c>
      <c r="G185" s="4"/>
      <c r="H185" s="4"/>
      <c r="I185" s="10"/>
      <c r="J185" s="4"/>
      <c r="K185" s="8" t="s">
        <v>137</v>
      </c>
      <c r="L185" s="4"/>
      <c r="M185" s="4"/>
      <c r="N185" s="4"/>
      <c r="O185" s="10">
        <f>0.5*(50.14+49.54)</f>
        <v>49.84</v>
      </c>
      <c r="P185" s="10"/>
      <c r="Q185" s="10">
        <f>0.5*(17.81+17.67)</f>
        <v>17.740000000000002</v>
      </c>
      <c r="R185" s="10"/>
      <c r="S185" s="10"/>
      <c r="T185" s="10">
        <f>0.5*(9.87+9.62)</f>
        <v>9.745</v>
      </c>
      <c r="U185" s="10">
        <f>0.5*(23.91+23.43)</f>
        <v>23.67</v>
      </c>
      <c r="V185" s="10"/>
      <c r="W185" s="10"/>
      <c r="X185" s="10"/>
      <c r="Y185" s="10">
        <f>0.5*(101.73+100.26)</f>
        <v>100.995</v>
      </c>
      <c r="Z185" s="6" t="s">
        <v>710</v>
      </c>
      <c r="AA185"/>
    </row>
    <row r="186" spans="1:27" s="2" customFormat="1" ht="12.75">
      <c r="A186">
        <v>182</v>
      </c>
      <c r="B186" s="4" t="s">
        <v>273</v>
      </c>
      <c r="C186" s="4" t="s">
        <v>465</v>
      </c>
      <c r="D186" s="4" t="s">
        <v>581</v>
      </c>
      <c r="E186" s="4" t="s">
        <v>416</v>
      </c>
      <c r="F186" s="4" t="s">
        <v>272</v>
      </c>
      <c r="G186" s="4"/>
      <c r="H186" s="4"/>
      <c r="I186" s="10"/>
      <c r="J186" s="4"/>
      <c r="K186" s="8" t="s">
        <v>274</v>
      </c>
      <c r="L186" s="4"/>
      <c r="M186" s="4"/>
      <c r="N186" s="4"/>
      <c r="O186" s="6"/>
      <c r="P186" s="6"/>
      <c r="Q186" s="6"/>
      <c r="R186" s="13"/>
      <c r="S186" s="6"/>
      <c r="T186" s="6"/>
      <c r="U186" s="6"/>
      <c r="V186" s="6"/>
      <c r="W186" s="13"/>
      <c r="X186" s="6"/>
      <c r="Y186" s="6"/>
      <c r="Z186" s="6" t="s">
        <v>549</v>
      </c>
      <c r="AA186"/>
    </row>
    <row r="187" spans="1:26" ht="12.75">
      <c r="A187">
        <v>183</v>
      </c>
      <c r="B187" s="4" t="s">
        <v>100</v>
      </c>
      <c r="C187" s="4" t="s">
        <v>465</v>
      </c>
      <c r="D187" s="4" t="s">
        <v>312</v>
      </c>
      <c r="E187" s="4" t="s">
        <v>517</v>
      </c>
      <c r="F187" s="4">
        <v>1</v>
      </c>
      <c r="K187" s="6">
        <v>-2.89</v>
      </c>
      <c r="L187" s="4">
        <f>2*6.571</f>
        <v>13.142</v>
      </c>
      <c r="M187" s="4">
        <v>46082</v>
      </c>
      <c r="N187" s="4">
        <f>2*11219</f>
        <v>22438</v>
      </c>
      <c r="O187" s="10">
        <v>63.51</v>
      </c>
      <c r="P187" s="10">
        <v>0.56</v>
      </c>
      <c r="Q187" s="10">
        <v>17.61</v>
      </c>
      <c r="R187" s="10">
        <v>4.91</v>
      </c>
      <c r="S187" s="10"/>
      <c r="T187" s="10">
        <v>1.68</v>
      </c>
      <c r="U187" s="10">
        <v>5.24</v>
      </c>
      <c r="V187" s="10">
        <v>4.67</v>
      </c>
      <c r="W187" s="10">
        <v>1.77</v>
      </c>
      <c r="X187" s="10"/>
      <c r="Y187" s="4">
        <v>99.95</v>
      </c>
      <c r="Z187" s="6" t="s">
        <v>546</v>
      </c>
    </row>
    <row r="188" spans="1:26" ht="12.75">
      <c r="A188">
        <v>184</v>
      </c>
      <c r="B188" s="4" t="s">
        <v>64</v>
      </c>
      <c r="C188" s="4" t="s">
        <v>465</v>
      </c>
      <c r="D188" s="4" t="s">
        <v>66</v>
      </c>
      <c r="E188" s="4" t="s">
        <v>614</v>
      </c>
      <c r="F188" s="4">
        <v>1</v>
      </c>
      <c r="K188" s="4">
        <v>-3.65</v>
      </c>
      <c r="L188" s="4">
        <f>2*3.28</f>
        <v>6.56</v>
      </c>
      <c r="M188" s="4">
        <v>46019</v>
      </c>
      <c r="N188" s="4">
        <f>2*5747.8</f>
        <v>11495.6</v>
      </c>
      <c r="O188" s="4">
        <f>0.5*(68.39+69.38)</f>
        <v>68.88499999999999</v>
      </c>
      <c r="P188" s="4">
        <f>0.5*(0.52+0.54)</f>
        <v>0.53</v>
      </c>
      <c r="Q188" s="4">
        <f>0.5*(17.46+16.87)</f>
        <v>17.165</v>
      </c>
      <c r="R188" s="10"/>
      <c r="T188" s="4">
        <f>0.5*(3.53+3.36)</f>
        <v>3.445</v>
      </c>
      <c r="U188" s="4">
        <f>0.5*(3.12+3.04)</f>
        <v>3.08</v>
      </c>
      <c r="V188" s="4">
        <f>0.5*(4.11+3.91)</f>
        <v>4.01</v>
      </c>
      <c r="W188" s="10">
        <f>0.5*(3.57+3.92)</f>
        <v>3.745</v>
      </c>
      <c r="Y188" s="4">
        <f>0.5*(100.7+101.02)</f>
        <v>100.86</v>
      </c>
      <c r="Z188" s="14" t="s">
        <v>277</v>
      </c>
    </row>
    <row r="189" spans="1:26" ht="12.75">
      <c r="A189">
        <v>185</v>
      </c>
      <c r="B189" s="4" t="s">
        <v>64</v>
      </c>
      <c r="C189" s="4" t="s">
        <v>465</v>
      </c>
      <c r="D189" s="4" t="s">
        <v>66</v>
      </c>
      <c r="E189" s="4" t="s">
        <v>654</v>
      </c>
      <c r="F189" s="4">
        <v>2</v>
      </c>
      <c r="K189" s="4">
        <v>-8.31</v>
      </c>
      <c r="L189" s="4">
        <f>2*2.68</f>
        <v>5.36</v>
      </c>
      <c r="M189" s="4">
        <v>36630</v>
      </c>
      <c r="N189" s="4">
        <f>2*4791.36</f>
        <v>9582.72</v>
      </c>
      <c r="O189" s="4">
        <f>0.5*(68.39+69.38)</f>
        <v>68.88499999999999</v>
      </c>
      <c r="P189" s="4">
        <f>0.5*(0.52+0.54)</f>
        <v>0.53</v>
      </c>
      <c r="Q189" s="4">
        <f>0.5*(17.46+16.87)</f>
        <v>17.165</v>
      </c>
      <c r="R189" s="10"/>
      <c r="T189" s="4">
        <f>0.5*(3.53+3.36)</f>
        <v>3.445</v>
      </c>
      <c r="U189" s="4">
        <f>0.5*(3.12+3.04)</f>
        <v>3.08</v>
      </c>
      <c r="V189" s="4">
        <f>0.5*(4.11+3.91)</f>
        <v>4.01</v>
      </c>
      <c r="W189" s="10">
        <f>0.5*(3.57+3.92)</f>
        <v>3.745</v>
      </c>
      <c r="Y189" s="4">
        <f>0.5*(100.7+101.02)</f>
        <v>100.86</v>
      </c>
      <c r="Z189" s="14" t="s">
        <v>277</v>
      </c>
    </row>
    <row r="190" spans="1:26" ht="12.75">
      <c r="A190">
        <v>186</v>
      </c>
      <c r="B190" s="4" t="s">
        <v>64</v>
      </c>
      <c r="C190" s="4" t="s">
        <v>465</v>
      </c>
      <c r="D190" s="4" t="s">
        <v>66</v>
      </c>
      <c r="E190" s="4" t="s">
        <v>482</v>
      </c>
      <c r="F190" s="4">
        <v>4</v>
      </c>
      <c r="K190" s="4">
        <v>-15.85</v>
      </c>
      <c r="L190" s="4">
        <f>2*0.26</f>
        <v>0.52</v>
      </c>
      <c r="M190" s="4">
        <v>19644</v>
      </c>
      <c r="N190" s="4">
        <f>2*476.3</f>
        <v>952.6</v>
      </c>
      <c r="O190" s="4">
        <f>0.5*(68.39+69.38)</f>
        <v>68.88499999999999</v>
      </c>
      <c r="P190" s="4">
        <f>0.5*(0.52+0.54)</f>
        <v>0.53</v>
      </c>
      <c r="Q190" s="4">
        <f>0.5*(17.46+16.87)</f>
        <v>17.165</v>
      </c>
      <c r="R190" s="10"/>
      <c r="T190" s="4">
        <f>0.5*(3.53+3.36)</f>
        <v>3.445</v>
      </c>
      <c r="U190" s="4">
        <f>0.5*(3.12+3.04)</f>
        <v>3.08</v>
      </c>
      <c r="V190" s="4">
        <f>0.5*(4.11+3.91)</f>
        <v>4.01</v>
      </c>
      <c r="W190" s="10">
        <f>0.5*(3.57+3.92)</f>
        <v>3.745</v>
      </c>
      <c r="Y190" s="4">
        <f>0.5*(100.7+101.02)</f>
        <v>100.86</v>
      </c>
      <c r="Z190" s="14" t="s">
        <v>277</v>
      </c>
    </row>
    <row r="191" spans="1:26" ht="12.75">
      <c r="A191">
        <v>187</v>
      </c>
      <c r="B191" s="4" t="s">
        <v>64</v>
      </c>
      <c r="C191" s="4" t="s">
        <v>465</v>
      </c>
      <c r="D191" s="4" t="s">
        <v>66</v>
      </c>
      <c r="E191" s="4" t="s">
        <v>614</v>
      </c>
      <c r="F191" s="19" t="s">
        <v>616</v>
      </c>
      <c r="K191" s="8" t="s">
        <v>664</v>
      </c>
      <c r="O191" s="4">
        <f>0.5*(68.39+69.38)</f>
        <v>68.88499999999999</v>
      </c>
      <c r="P191" s="4">
        <f>0.5*(0.52+0.54)</f>
        <v>0.53</v>
      </c>
      <c r="Q191" s="4">
        <f>0.5*(17.46+16.87)</f>
        <v>17.165</v>
      </c>
      <c r="R191" s="10"/>
      <c r="T191" s="4">
        <f>0.5*(3.53+3.36)</f>
        <v>3.445</v>
      </c>
      <c r="U191" s="4">
        <f>0.5*(3.12+3.04)</f>
        <v>3.08</v>
      </c>
      <c r="V191" s="4">
        <f>0.5*(4.11+3.91)</f>
        <v>4.01</v>
      </c>
      <c r="W191" s="10">
        <f>0.5*(3.57+3.92)</f>
        <v>3.745</v>
      </c>
      <c r="Y191" s="4">
        <f>0.5*(100.7+101.02)</f>
        <v>100.86</v>
      </c>
      <c r="Z191" s="14" t="s">
        <v>277</v>
      </c>
    </row>
    <row r="192" spans="1:27" ht="12.75">
      <c r="A192">
        <v>188</v>
      </c>
      <c r="B192" s="4" t="s">
        <v>119</v>
      </c>
      <c r="C192" s="4" t="s">
        <v>465</v>
      </c>
      <c r="D192" s="4" t="s">
        <v>581</v>
      </c>
      <c r="E192" s="4" t="s">
        <v>665</v>
      </c>
      <c r="F192" s="4" t="s">
        <v>649</v>
      </c>
      <c r="K192" s="4">
        <v>-14.26</v>
      </c>
      <c r="L192" s="4">
        <f>2*5.117</f>
        <v>10.234</v>
      </c>
      <c r="M192" s="4">
        <v>23210</v>
      </c>
      <c r="N192" s="4">
        <f>2*6644.7</f>
        <v>13289.4</v>
      </c>
      <c r="O192" s="6">
        <v>72.585</v>
      </c>
      <c r="P192" s="6">
        <v>0.185</v>
      </c>
      <c r="Q192" s="6">
        <v>10.17</v>
      </c>
      <c r="R192" s="13">
        <v>4.365</v>
      </c>
      <c r="S192" s="6">
        <v>0.2</v>
      </c>
      <c r="T192" s="6">
        <v>0.035</v>
      </c>
      <c r="U192" s="6">
        <v>0.395</v>
      </c>
      <c r="V192" s="6">
        <v>6.99</v>
      </c>
      <c r="W192" s="13">
        <v>4.395</v>
      </c>
      <c r="X192" s="6">
        <v>0</v>
      </c>
      <c r="Y192" s="6">
        <f>SUM(O192:X192)</f>
        <v>99.31999999999998</v>
      </c>
      <c r="Z192" s="6" t="s">
        <v>419</v>
      </c>
      <c r="AA192" s="2"/>
    </row>
    <row r="193" spans="1:26" ht="12.75">
      <c r="A193">
        <v>189</v>
      </c>
      <c r="B193" s="4" t="s">
        <v>125</v>
      </c>
      <c r="C193" s="4" t="s">
        <v>465</v>
      </c>
      <c r="D193" s="4" t="s">
        <v>312</v>
      </c>
      <c r="E193" s="4" t="s">
        <v>517</v>
      </c>
      <c r="F193" s="4">
        <v>1</v>
      </c>
      <c r="K193" s="6">
        <v>-18.38</v>
      </c>
      <c r="L193" s="4">
        <f>2*2.854</f>
        <v>5.708</v>
      </c>
      <c r="M193" s="4">
        <v>16691</v>
      </c>
      <c r="N193" s="4">
        <f>2*4828.4</f>
        <v>9656.8</v>
      </c>
      <c r="O193" s="10">
        <v>76.37</v>
      </c>
      <c r="P193" s="10">
        <v>0.11</v>
      </c>
      <c r="Q193" s="10">
        <v>13.35</v>
      </c>
      <c r="R193" s="10">
        <v>0.79</v>
      </c>
      <c r="S193" s="10">
        <v>0.06</v>
      </c>
      <c r="T193" s="10">
        <v>0.07</v>
      </c>
      <c r="U193" s="10">
        <v>0.51</v>
      </c>
      <c r="V193" s="10">
        <v>4.31</v>
      </c>
      <c r="W193" s="10">
        <v>4.67</v>
      </c>
      <c r="X193" s="10"/>
      <c r="Y193" s="4">
        <f>SUM(O193:X193)</f>
        <v>100.24000000000001</v>
      </c>
      <c r="Z193" s="6" t="s">
        <v>709</v>
      </c>
    </row>
    <row r="194" spans="1:26" ht="12.75">
      <c r="A194">
        <v>190</v>
      </c>
      <c r="R194" s="10"/>
      <c r="W194" s="10"/>
      <c r="Z194" s="4"/>
    </row>
    <row r="195" spans="1:26" ht="12.75">
      <c r="A195">
        <v>191</v>
      </c>
      <c r="B195" s="4" t="s">
        <v>104</v>
      </c>
      <c r="C195" s="4" t="s">
        <v>396</v>
      </c>
      <c r="D195" s="4" t="s">
        <v>130</v>
      </c>
      <c r="E195" s="4" t="s">
        <v>241</v>
      </c>
      <c r="F195" s="4">
        <v>0.0001</v>
      </c>
      <c r="K195" s="4">
        <v>-13.05</v>
      </c>
      <c r="L195" s="4">
        <f>2*2.6153</f>
        <v>5.2306</v>
      </c>
      <c r="M195" s="4">
        <v>22459</v>
      </c>
      <c r="N195" s="4">
        <f>2*3226.7</f>
        <v>6453.4</v>
      </c>
      <c r="O195" s="4">
        <f>0.5*(66.6+65.7)</f>
        <v>66.15</v>
      </c>
      <c r="Q195" s="4">
        <f>0.5*(9.28+9.96)</f>
        <v>9.620000000000001</v>
      </c>
      <c r="R195" s="10"/>
      <c r="V195" s="4">
        <f>0.5*(20.47+20.71)</f>
        <v>20.59</v>
      </c>
      <c r="W195" s="10">
        <f>0.5*(3.65+3.63)</f>
        <v>3.6399999999999997</v>
      </c>
      <c r="Y195" s="4">
        <v>100</v>
      </c>
      <c r="Z195" s="4" t="s">
        <v>435</v>
      </c>
    </row>
    <row r="196" spans="1:26" ht="12" customHeight="1">
      <c r="A196">
        <v>192</v>
      </c>
      <c r="B196" s="4" t="s">
        <v>128</v>
      </c>
      <c r="C196" s="4" t="s">
        <v>396</v>
      </c>
      <c r="D196" s="4" t="s">
        <v>130</v>
      </c>
      <c r="E196" s="4" t="s">
        <v>596</v>
      </c>
      <c r="F196" s="4">
        <v>0.0001</v>
      </c>
      <c r="K196" s="4">
        <v>-11.27</v>
      </c>
      <c r="L196" s="4">
        <f>2*2.5818</f>
        <v>5.1636</v>
      </c>
      <c r="M196" s="4">
        <v>37414</v>
      </c>
      <c r="N196" s="4">
        <f>2*4278.8</f>
        <v>8557.6</v>
      </c>
      <c r="O196" s="4">
        <f>0.5*(79.64+79.21)</f>
        <v>79.425</v>
      </c>
      <c r="Q196" s="4">
        <f>0.5*(11.33+11.95)</f>
        <v>11.64</v>
      </c>
      <c r="R196" s="10"/>
      <c r="V196" s="4">
        <f>0.5*(4.88+4.66)</f>
        <v>4.77</v>
      </c>
      <c r="W196" s="10">
        <f>0.5*(4.15+4.18)</f>
        <v>4.165</v>
      </c>
      <c r="Y196" s="4">
        <v>100</v>
      </c>
      <c r="Z196" s="4" t="s">
        <v>435</v>
      </c>
    </row>
    <row r="197" spans="1:26" ht="12.75">
      <c r="A197">
        <v>193</v>
      </c>
      <c r="R197" s="10"/>
      <c r="W197" s="10"/>
      <c r="Z197" s="4"/>
    </row>
    <row r="198" spans="1:26" ht="12.75">
      <c r="A198">
        <v>194</v>
      </c>
      <c r="B198" s="4" t="s">
        <v>173</v>
      </c>
      <c r="C198" s="4" t="s">
        <v>552</v>
      </c>
      <c r="D198" s="4" t="s">
        <v>130</v>
      </c>
      <c r="E198" s="4" t="s">
        <v>384</v>
      </c>
      <c r="F198" s="4">
        <v>0.5</v>
      </c>
      <c r="I198" s="10" t="s">
        <v>268</v>
      </c>
      <c r="K198" s="4">
        <v>0.45</v>
      </c>
      <c r="L198" s="4">
        <f>2*5.209</f>
        <v>10.418</v>
      </c>
      <c r="M198" s="4">
        <v>40445</v>
      </c>
      <c r="N198" s="4">
        <f>2*7465.74</f>
        <v>14931.48</v>
      </c>
      <c r="O198" s="4">
        <v>59.8</v>
      </c>
      <c r="P198" s="4">
        <v>0.78</v>
      </c>
      <c r="Q198" s="4">
        <v>19.52</v>
      </c>
      <c r="R198" s="10">
        <v>2.95</v>
      </c>
      <c r="T198" s="4">
        <v>0.66</v>
      </c>
      <c r="U198" s="4">
        <v>3.86</v>
      </c>
      <c r="V198" s="4">
        <v>5.5</v>
      </c>
      <c r="W198" s="10">
        <v>7.31</v>
      </c>
      <c r="Y198" s="4">
        <v>100.38</v>
      </c>
      <c r="Z198" s="4" t="s">
        <v>391</v>
      </c>
    </row>
    <row r="199" spans="1:26" ht="12.75">
      <c r="A199">
        <v>195</v>
      </c>
      <c r="B199" s="4" t="s">
        <v>174</v>
      </c>
      <c r="C199" s="4" t="s">
        <v>552</v>
      </c>
      <c r="D199" s="4" t="s">
        <v>130</v>
      </c>
      <c r="E199" s="4" t="s">
        <v>492</v>
      </c>
      <c r="F199" s="4">
        <v>0.5</v>
      </c>
      <c r="I199" s="10" t="s">
        <v>588</v>
      </c>
      <c r="K199" s="4">
        <v>-7.81</v>
      </c>
      <c r="L199" s="4">
        <f>2*1.55</f>
        <v>3.1</v>
      </c>
      <c r="M199" s="4">
        <v>26127</v>
      </c>
      <c r="N199" s="4">
        <f>2*2221</f>
        <v>4442</v>
      </c>
      <c r="O199" s="4">
        <v>59.8</v>
      </c>
      <c r="P199" s="4">
        <v>0.78</v>
      </c>
      <c r="Q199" s="4">
        <v>19.52</v>
      </c>
      <c r="R199" s="10">
        <v>2.95</v>
      </c>
      <c r="T199" s="4">
        <v>0.66</v>
      </c>
      <c r="U199" s="4">
        <v>3.86</v>
      </c>
      <c r="V199" s="4">
        <v>5.5</v>
      </c>
      <c r="W199" s="10">
        <v>7.31</v>
      </c>
      <c r="Y199" s="4">
        <v>100.38</v>
      </c>
      <c r="Z199" s="4" t="s">
        <v>391</v>
      </c>
    </row>
    <row r="200" spans="1:26" ht="12.75">
      <c r="A200">
        <v>196</v>
      </c>
      <c r="B200" s="4" t="s">
        <v>656</v>
      </c>
      <c r="C200" s="4" t="s">
        <v>552</v>
      </c>
      <c r="D200" s="4" t="s">
        <v>130</v>
      </c>
      <c r="E200" s="4" t="s">
        <v>492</v>
      </c>
      <c r="F200" s="4">
        <v>0.5</v>
      </c>
      <c r="I200" s="10" t="s">
        <v>658</v>
      </c>
      <c r="K200" s="8" t="s">
        <v>213</v>
      </c>
      <c r="R200" s="10"/>
      <c r="W200" s="10"/>
      <c r="Z200" s="6" t="s">
        <v>151</v>
      </c>
    </row>
    <row r="201" spans="1:26" ht="12.75">
      <c r="A201">
        <v>197</v>
      </c>
      <c r="B201" s="4" t="s">
        <v>99</v>
      </c>
      <c r="C201" s="4" t="s">
        <v>552</v>
      </c>
      <c r="D201" s="4" t="s">
        <v>130</v>
      </c>
      <c r="E201" s="4" t="s">
        <v>389</v>
      </c>
      <c r="F201" s="4">
        <v>0.5</v>
      </c>
      <c r="I201" s="10" t="s">
        <v>388</v>
      </c>
      <c r="K201" s="4">
        <v>-6.05</v>
      </c>
      <c r="L201" s="4">
        <f>2*2.993</f>
        <v>5.986</v>
      </c>
      <c r="M201" s="4">
        <f>34432</f>
        <v>34432</v>
      </c>
      <c r="N201" s="4">
        <f>2*4318.2</f>
        <v>8636.4</v>
      </c>
      <c r="O201" s="4">
        <v>62.37</v>
      </c>
      <c r="P201" s="4">
        <v>0.48</v>
      </c>
      <c r="Q201" s="4">
        <v>18.61</v>
      </c>
      <c r="R201" s="10">
        <v>3.68</v>
      </c>
      <c r="T201" s="4">
        <v>0.24</v>
      </c>
      <c r="U201" s="4">
        <v>1.73</v>
      </c>
      <c r="V201" s="4">
        <v>5.43</v>
      </c>
      <c r="W201" s="10">
        <v>7.25</v>
      </c>
      <c r="Y201" s="4">
        <v>99.79</v>
      </c>
      <c r="Z201" s="4" t="s">
        <v>391</v>
      </c>
    </row>
    <row r="202" spans="1:26" ht="12.75">
      <c r="A202">
        <v>198</v>
      </c>
      <c r="B202" s="4" t="s">
        <v>98</v>
      </c>
      <c r="C202" s="4" t="s">
        <v>552</v>
      </c>
      <c r="D202" s="4" t="s">
        <v>130</v>
      </c>
      <c r="E202" s="4" t="s">
        <v>389</v>
      </c>
      <c r="F202" s="4">
        <v>0.5</v>
      </c>
      <c r="I202" s="10" t="s">
        <v>267</v>
      </c>
      <c r="K202" s="4">
        <v>-18.49</v>
      </c>
      <c r="L202" s="4">
        <f>2*0.6923</f>
        <v>1.3846</v>
      </c>
      <c r="M202" s="4">
        <v>12448</v>
      </c>
      <c r="N202" s="4">
        <f>2*981</f>
        <v>1962</v>
      </c>
      <c r="O202" s="4">
        <v>62.37</v>
      </c>
      <c r="P202" s="4">
        <v>0.48</v>
      </c>
      <c r="Q202" s="4">
        <v>18.61</v>
      </c>
      <c r="R202" s="10">
        <v>3.68</v>
      </c>
      <c r="T202" s="4">
        <v>0.24</v>
      </c>
      <c r="U202" s="4">
        <v>1.73</v>
      </c>
      <c r="V202" s="4">
        <v>5.43</v>
      </c>
      <c r="W202" s="10">
        <v>7.25</v>
      </c>
      <c r="Y202" s="4">
        <v>99.79</v>
      </c>
      <c r="Z202" s="4" t="s">
        <v>391</v>
      </c>
    </row>
    <row r="203" spans="1:26" ht="12.75">
      <c r="A203">
        <v>199</v>
      </c>
      <c r="B203" s="4" t="s">
        <v>561</v>
      </c>
      <c r="C203" s="4" t="s">
        <v>552</v>
      </c>
      <c r="D203" s="4" t="s">
        <v>130</v>
      </c>
      <c r="E203" s="4" t="s">
        <v>389</v>
      </c>
      <c r="F203" s="4">
        <v>0.5</v>
      </c>
      <c r="I203" s="10" t="s">
        <v>657</v>
      </c>
      <c r="K203" s="8" t="s">
        <v>212</v>
      </c>
      <c r="R203" s="10"/>
      <c r="W203" s="10"/>
      <c r="Z203" s="6" t="s">
        <v>151</v>
      </c>
    </row>
    <row r="204" spans="1:26" ht="12.75">
      <c r="A204">
        <v>200</v>
      </c>
      <c r="R204" s="10"/>
      <c r="W204" s="10"/>
      <c r="Z204" s="4"/>
    </row>
    <row r="205" spans="1:26" ht="12.75">
      <c r="A205">
        <v>201</v>
      </c>
      <c r="B205" s="4" t="s">
        <v>121</v>
      </c>
      <c r="C205" s="4" t="s">
        <v>339</v>
      </c>
      <c r="D205" s="4" t="s">
        <v>130</v>
      </c>
      <c r="E205" s="4" t="s">
        <v>21</v>
      </c>
      <c r="F205" s="4">
        <v>1</v>
      </c>
      <c r="K205" s="4">
        <v>-15.47</v>
      </c>
      <c r="M205" s="4">
        <v>17849</v>
      </c>
      <c r="O205" s="4">
        <f>0.5*(73.91+73.45)</f>
        <v>73.68</v>
      </c>
      <c r="P205" s="4">
        <f>0.5*(0.34+0.22)</f>
        <v>0.28</v>
      </c>
      <c r="Q205" s="4">
        <f>0.5*(13.62+13.66)</f>
        <v>13.64</v>
      </c>
      <c r="R205" s="10">
        <f>0.5*(1.9+1.73)</f>
        <v>1.815</v>
      </c>
      <c r="S205" s="4">
        <f>0.5*(0.08+0.12)</f>
        <v>0.1</v>
      </c>
      <c r="T205" s="4">
        <f>0.5*(0.19+0.25)</f>
        <v>0.22</v>
      </c>
      <c r="U205" s="4">
        <f>0.5*(1.01+0.97)</f>
        <v>0.99</v>
      </c>
      <c r="V205" s="4">
        <f>0.5*(4.83+4.31)</f>
        <v>4.57</v>
      </c>
      <c r="W205" s="10">
        <f>0.5*(4.14+4.04)</f>
        <v>4.09</v>
      </c>
      <c r="Y205" s="4">
        <f>0.5*(98.83+99.73)</f>
        <v>99.28</v>
      </c>
      <c r="Z205" s="6" t="s">
        <v>402</v>
      </c>
    </row>
    <row r="206" spans="1:26" ht="12.75">
      <c r="A206">
        <v>202</v>
      </c>
      <c r="B206" s="4" t="s">
        <v>19</v>
      </c>
      <c r="C206" s="4" t="s">
        <v>339</v>
      </c>
      <c r="D206" s="4" t="s">
        <v>130</v>
      </c>
      <c r="E206" s="4" t="s">
        <v>20</v>
      </c>
      <c r="F206" s="4">
        <v>1</v>
      </c>
      <c r="I206" s="10">
        <v>1</v>
      </c>
      <c r="K206" s="4">
        <v>-15.95</v>
      </c>
      <c r="M206" s="4">
        <v>15840</v>
      </c>
      <c r="O206" s="4">
        <f>0.5*(73.91+73.45)</f>
        <v>73.68</v>
      </c>
      <c r="P206" s="4">
        <f>0.5*(0.34+0.22)</f>
        <v>0.28</v>
      </c>
      <c r="Q206" s="4">
        <f>0.5*(13.62+13.66)</f>
        <v>13.64</v>
      </c>
      <c r="R206" s="10">
        <f>0.5*(1.9+1.73)</f>
        <v>1.815</v>
      </c>
      <c r="S206" s="4">
        <f>0.5*(0.08+0.12)</f>
        <v>0.1</v>
      </c>
      <c r="T206" s="4">
        <f>0.5*(0.19+0.25)</f>
        <v>0.22</v>
      </c>
      <c r="U206" s="4">
        <f>0.5*(1.01+0.97)</f>
        <v>0.99</v>
      </c>
      <c r="V206" s="4">
        <f>0.5*(4.83+4.31)</f>
        <v>4.57</v>
      </c>
      <c r="W206" s="10">
        <f>0.5*(4.14+4.04)</f>
        <v>4.09</v>
      </c>
      <c r="Y206" s="4">
        <f>0.5*(98.83+99.73)</f>
        <v>99.28</v>
      </c>
      <c r="Z206" s="6" t="s">
        <v>402</v>
      </c>
    </row>
    <row r="207" spans="1:26" ht="12.75">
      <c r="A207">
        <v>203</v>
      </c>
      <c r="B207" s="4" t="s">
        <v>19</v>
      </c>
      <c r="C207" s="4" t="s">
        <v>339</v>
      </c>
      <c r="D207" s="4" t="s">
        <v>130</v>
      </c>
      <c r="E207" s="4" t="s">
        <v>22</v>
      </c>
      <c r="F207" s="4">
        <v>1</v>
      </c>
      <c r="I207" s="10">
        <v>2.5</v>
      </c>
      <c r="K207" s="4">
        <v>-19.94</v>
      </c>
      <c r="M207" s="4">
        <v>8732</v>
      </c>
      <c r="O207" s="4">
        <f>0.5*(73.91+73.45)</f>
        <v>73.68</v>
      </c>
      <c r="P207" s="4">
        <f>0.5*(0.34+0.22)</f>
        <v>0.28</v>
      </c>
      <c r="Q207" s="4">
        <f>0.5*(13.62+13.66)</f>
        <v>13.64</v>
      </c>
      <c r="R207" s="10">
        <f>0.5*(1.9+1.73)</f>
        <v>1.815</v>
      </c>
      <c r="S207" s="4">
        <f>0.5*(0.08+0.12)</f>
        <v>0.1</v>
      </c>
      <c r="T207" s="4">
        <f>0.5*(0.19+0.25)</f>
        <v>0.22</v>
      </c>
      <c r="U207" s="4">
        <f>0.5*(1.01+0.97)</f>
        <v>0.99</v>
      </c>
      <c r="V207" s="4">
        <f>0.5*(4.83+4.31)</f>
        <v>4.57</v>
      </c>
      <c r="W207" s="10">
        <f>0.5*(4.14+4.04)</f>
        <v>4.09</v>
      </c>
      <c r="Y207" s="4">
        <f>0.5*(98.83+99.73)</f>
        <v>99.28</v>
      </c>
      <c r="Z207" s="6" t="s">
        <v>402</v>
      </c>
    </row>
    <row r="208" spans="1:26" ht="12.75">
      <c r="A208">
        <v>204</v>
      </c>
      <c r="B208" s="4" t="s">
        <v>121</v>
      </c>
      <c r="C208" s="4" t="s">
        <v>339</v>
      </c>
      <c r="D208" s="4" t="s">
        <v>130</v>
      </c>
      <c r="E208" s="4" t="s">
        <v>209</v>
      </c>
      <c r="F208" s="4">
        <v>1</v>
      </c>
      <c r="I208" s="10" t="s">
        <v>210</v>
      </c>
      <c r="K208" s="8" t="s">
        <v>211</v>
      </c>
      <c r="O208" s="4">
        <f>0.5*(73.91+73.45)</f>
        <v>73.68</v>
      </c>
      <c r="P208" s="4">
        <f>0.5*(0.34+0.22)</f>
        <v>0.28</v>
      </c>
      <c r="Q208" s="4">
        <f>0.5*(13.62+13.66)</f>
        <v>13.64</v>
      </c>
      <c r="R208" s="10">
        <f>0.5*(1.9+1.73)</f>
        <v>1.815</v>
      </c>
      <c r="S208" s="4">
        <f>0.5*(0.08+0.12)</f>
        <v>0.1</v>
      </c>
      <c r="T208" s="4">
        <f>0.5*(0.19+0.25)</f>
        <v>0.22</v>
      </c>
      <c r="U208" s="4">
        <f>0.5*(1.01+0.97)</f>
        <v>0.99</v>
      </c>
      <c r="V208" s="4">
        <f>0.5*(4.83+4.31)</f>
        <v>4.57</v>
      </c>
      <c r="W208" s="10">
        <f>0.5*(4.14+4.04)</f>
        <v>4.09</v>
      </c>
      <c r="Y208" s="4">
        <f>0.5*(98.83+99.73)</f>
        <v>99.28</v>
      </c>
      <c r="Z208" s="6" t="s">
        <v>151</v>
      </c>
    </row>
    <row r="209" spans="1:26" ht="12.75">
      <c r="A209">
        <v>205</v>
      </c>
      <c r="R209" s="10"/>
      <c r="W209" s="10"/>
      <c r="Z209" s="4"/>
    </row>
    <row r="210" spans="1:26" ht="12.75">
      <c r="A210">
        <v>206</v>
      </c>
      <c r="B210" s="4" t="s">
        <v>81</v>
      </c>
      <c r="C210" s="4" t="s">
        <v>545</v>
      </c>
      <c r="D210" s="4" t="s">
        <v>581</v>
      </c>
      <c r="E210" s="4" t="s">
        <v>426</v>
      </c>
      <c r="F210" s="4">
        <v>0.8</v>
      </c>
      <c r="I210" s="10">
        <v>0.1</v>
      </c>
      <c r="K210" s="4">
        <v>12.62</v>
      </c>
      <c r="L210" s="4">
        <v>2.354</v>
      </c>
      <c r="M210" s="4">
        <v>72874</v>
      </c>
      <c r="N210" s="4">
        <v>3794</v>
      </c>
      <c r="O210" s="4">
        <v>76.01</v>
      </c>
      <c r="P210" s="4">
        <v>0.11</v>
      </c>
      <c r="Q210" s="4">
        <v>13</v>
      </c>
      <c r="R210" s="10">
        <v>0.7</v>
      </c>
      <c r="T210" s="4">
        <v>0.09</v>
      </c>
      <c r="U210" s="4">
        <v>0.52</v>
      </c>
      <c r="V210" s="4">
        <v>3.65</v>
      </c>
      <c r="W210" s="10">
        <v>4.81</v>
      </c>
      <c r="Y210" s="4">
        <f>SUM(O210:X210)</f>
        <v>98.89000000000001</v>
      </c>
      <c r="Z210" s="6" t="s">
        <v>406</v>
      </c>
    </row>
    <row r="211" spans="1:26" ht="12.75">
      <c r="A211">
        <v>207</v>
      </c>
      <c r="B211" s="4" t="s">
        <v>82</v>
      </c>
      <c r="C211" s="4" t="s">
        <v>545</v>
      </c>
      <c r="D211" s="4" t="s">
        <v>581</v>
      </c>
      <c r="E211" s="4" t="s">
        <v>357</v>
      </c>
      <c r="F211" s="4">
        <v>0.8</v>
      </c>
      <c r="I211" s="10" t="s">
        <v>289</v>
      </c>
      <c r="K211" s="4">
        <v>-14.28</v>
      </c>
      <c r="L211" s="4">
        <f>2*5.37</f>
        <v>10.74</v>
      </c>
      <c r="M211" s="4">
        <v>25059</v>
      </c>
      <c r="N211" s="4">
        <f>2*7874</f>
        <v>15748</v>
      </c>
      <c r="O211" s="4">
        <v>76.01</v>
      </c>
      <c r="P211" s="4">
        <v>0.11</v>
      </c>
      <c r="Q211" s="4">
        <v>13</v>
      </c>
      <c r="R211" s="10">
        <v>0.7</v>
      </c>
      <c r="T211" s="4">
        <v>0.09</v>
      </c>
      <c r="U211" s="4">
        <v>0.52</v>
      </c>
      <c r="V211" s="4">
        <v>3.65</v>
      </c>
      <c r="W211" s="10">
        <v>4.81</v>
      </c>
      <c r="Y211" s="4">
        <f>SUM(O211:X211)</f>
        <v>98.89000000000001</v>
      </c>
      <c r="Z211" s="6" t="s">
        <v>406</v>
      </c>
    </row>
    <row r="212" spans="1:26" ht="12.75">
      <c r="A212">
        <v>208</v>
      </c>
      <c r="B212" s="4" t="s">
        <v>82</v>
      </c>
      <c r="C212" s="4" t="s">
        <v>545</v>
      </c>
      <c r="D212" s="4" t="s">
        <v>581</v>
      </c>
      <c r="E212" s="4" t="s">
        <v>287</v>
      </c>
      <c r="F212" s="4">
        <v>0.8</v>
      </c>
      <c r="I212" s="10" t="s">
        <v>290</v>
      </c>
      <c r="K212" s="4">
        <v>-15.69</v>
      </c>
      <c r="L212" s="4">
        <f>2*1.3953</f>
        <v>2.7906</v>
      </c>
      <c r="M212" s="4">
        <v>19194</v>
      </c>
      <c r="N212" s="4">
        <f>2*1463.6</f>
        <v>2927.2</v>
      </c>
      <c r="O212" s="4">
        <v>76.01</v>
      </c>
      <c r="P212" s="4">
        <v>0.11</v>
      </c>
      <c r="Q212" s="4">
        <v>13</v>
      </c>
      <c r="R212" s="10">
        <v>0.7</v>
      </c>
      <c r="T212" s="4">
        <v>0.09</v>
      </c>
      <c r="U212" s="4">
        <v>0.52</v>
      </c>
      <c r="V212" s="4">
        <v>3.65</v>
      </c>
      <c r="W212" s="10">
        <v>4.81</v>
      </c>
      <c r="Y212" s="4">
        <f>SUM(O212:X212)</f>
        <v>98.89000000000001</v>
      </c>
      <c r="Z212" s="6" t="s">
        <v>406</v>
      </c>
    </row>
    <row r="213" spans="1:26" ht="12.75">
      <c r="A213">
        <v>209</v>
      </c>
      <c r="B213" s="4" t="s">
        <v>124</v>
      </c>
      <c r="C213" s="4" t="s">
        <v>545</v>
      </c>
      <c r="D213" s="4" t="s">
        <v>581</v>
      </c>
      <c r="E213" s="4" t="s">
        <v>522</v>
      </c>
      <c r="F213" s="4">
        <v>0.8</v>
      </c>
      <c r="I213" s="10">
        <v>1</v>
      </c>
      <c r="K213" s="4">
        <v>2.09</v>
      </c>
      <c r="L213" s="4">
        <f>2*1.4158</f>
        <v>2.8316</v>
      </c>
      <c r="M213" s="4">
        <v>53334</v>
      </c>
      <c r="N213" s="4">
        <f>2*2139</f>
        <v>4278</v>
      </c>
      <c r="O213" s="4">
        <v>76.01</v>
      </c>
      <c r="P213" s="4">
        <v>0.11</v>
      </c>
      <c r="Q213" s="4">
        <v>13</v>
      </c>
      <c r="R213" s="10">
        <v>0.7</v>
      </c>
      <c r="T213" s="4">
        <v>0.09</v>
      </c>
      <c r="U213" s="4">
        <v>0.52</v>
      </c>
      <c r="V213" s="4">
        <v>3.65</v>
      </c>
      <c r="W213" s="10">
        <v>4.81</v>
      </c>
      <c r="Y213" s="4">
        <f>SUM(O213:X213)</f>
        <v>98.89000000000001</v>
      </c>
      <c r="Z213" s="6" t="s">
        <v>578</v>
      </c>
    </row>
    <row r="214" spans="1:26" ht="12.75">
      <c r="A214">
        <v>210</v>
      </c>
      <c r="B214" s="4" t="s">
        <v>124</v>
      </c>
      <c r="C214" s="4" t="s">
        <v>545</v>
      </c>
      <c r="D214" s="4" t="s">
        <v>581</v>
      </c>
      <c r="E214" s="4" t="s">
        <v>357</v>
      </c>
      <c r="F214" s="4">
        <v>0.8</v>
      </c>
      <c r="I214" s="10" t="s">
        <v>291</v>
      </c>
      <c r="K214" s="4">
        <v>-10.22</v>
      </c>
      <c r="L214" s="4">
        <f>2*0.2288</f>
        <v>0.4576</v>
      </c>
      <c r="M214" s="4">
        <v>33088</v>
      </c>
      <c r="N214" s="4">
        <f>2*335.52</f>
        <v>671.04</v>
      </c>
      <c r="O214" s="4">
        <v>76.01</v>
      </c>
      <c r="P214" s="4">
        <v>0.11</v>
      </c>
      <c r="Q214" s="4">
        <v>13</v>
      </c>
      <c r="R214" s="10">
        <v>0.7</v>
      </c>
      <c r="T214" s="4">
        <v>0.09</v>
      </c>
      <c r="U214" s="4">
        <v>0.52</v>
      </c>
      <c r="V214" s="4">
        <v>3.65</v>
      </c>
      <c r="W214" s="10">
        <v>4.81</v>
      </c>
      <c r="Y214" s="4">
        <f>SUM(O214:X214)</f>
        <v>98.89000000000001</v>
      </c>
      <c r="Z214" s="6" t="s">
        <v>578</v>
      </c>
    </row>
    <row r="215" spans="1:26" ht="12.75">
      <c r="A215">
        <v>211</v>
      </c>
      <c r="B215" s="4" t="s">
        <v>124</v>
      </c>
      <c r="C215" s="4" t="s">
        <v>545</v>
      </c>
      <c r="D215" s="4" t="s">
        <v>581</v>
      </c>
      <c r="E215" s="4" t="s">
        <v>288</v>
      </c>
      <c r="F215" s="4">
        <v>0.8</v>
      </c>
      <c r="I215" s="10" t="s">
        <v>292</v>
      </c>
      <c r="K215" s="4">
        <v>-12.54</v>
      </c>
      <c r="L215" s="4">
        <f>2*2.6845</f>
        <v>5.369</v>
      </c>
      <c r="M215" s="4">
        <v>27434</v>
      </c>
      <c r="N215" s="4">
        <f>2*3799.8</f>
        <v>7599.6</v>
      </c>
      <c r="O215" s="4">
        <v>76.01</v>
      </c>
      <c r="P215" s="4">
        <v>0.11</v>
      </c>
      <c r="Q215" s="4">
        <v>13</v>
      </c>
      <c r="R215" s="10">
        <v>0.7</v>
      </c>
      <c r="T215" s="4">
        <v>0.09</v>
      </c>
      <c r="U215" s="4">
        <v>0.52</v>
      </c>
      <c r="V215" s="4">
        <v>3.65</v>
      </c>
      <c r="W215" s="10">
        <v>4.81</v>
      </c>
      <c r="Y215" s="4">
        <f>SUM(O215:X215)</f>
        <v>98.89000000000001</v>
      </c>
      <c r="Z215" s="6" t="s">
        <v>578</v>
      </c>
    </row>
    <row r="216" spans="1:26" ht="12.75">
      <c r="A216">
        <v>212</v>
      </c>
      <c r="B216" s="4" t="s">
        <v>124</v>
      </c>
      <c r="C216" s="4" t="s">
        <v>545</v>
      </c>
      <c r="D216" s="4" t="s">
        <v>581</v>
      </c>
      <c r="E216" s="4" t="s">
        <v>288</v>
      </c>
      <c r="F216" s="4">
        <v>0.8</v>
      </c>
      <c r="I216" s="10" t="s">
        <v>234</v>
      </c>
      <c r="K216" s="4">
        <v>-10.97</v>
      </c>
      <c r="L216" s="4">
        <f>2*0.9816</f>
        <v>1.9632</v>
      </c>
      <c r="M216" s="4">
        <v>29615</v>
      </c>
      <c r="N216" s="4">
        <f>2*1447.6</f>
        <v>2895.2</v>
      </c>
      <c r="O216" s="4">
        <v>76.01</v>
      </c>
      <c r="P216" s="4">
        <v>0.11</v>
      </c>
      <c r="Q216" s="4">
        <v>13</v>
      </c>
      <c r="R216" s="10">
        <v>0.7</v>
      </c>
      <c r="T216" s="4">
        <v>0.09</v>
      </c>
      <c r="U216" s="4">
        <v>0.52</v>
      </c>
      <c r="V216" s="4">
        <v>3.65</v>
      </c>
      <c r="W216" s="10">
        <v>4.81</v>
      </c>
      <c r="Y216" s="4">
        <f>SUM(O216:X216)</f>
        <v>98.89000000000001</v>
      </c>
      <c r="Z216" s="6" t="s">
        <v>578</v>
      </c>
    </row>
    <row r="217" ht="12.75">
      <c r="A217">
        <v>213</v>
      </c>
    </row>
    <row r="218" spans="1:26" ht="12.75">
      <c r="A218">
        <v>214</v>
      </c>
      <c r="B218" s="4" t="s">
        <v>176</v>
      </c>
      <c r="C218" s="4" t="s">
        <v>486</v>
      </c>
      <c r="D218" s="4" t="s">
        <v>130</v>
      </c>
      <c r="E218" s="4" t="s">
        <v>677</v>
      </c>
      <c r="F218" s="4">
        <v>0.5</v>
      </c>
      <c r="I218" s="10" t="s">
        <v>487</v>
      </c>
      <c r="K218" s="4">
        <v>-12.56</v>
      </c>
      <c r="L218" s="4">
        <v>1.28</v>
      </c>
      <c r="M218" s="4">
        <v>16423</v>
      </c>
      <c r="N218" s="4">
        <v>1934</v>
      </c>
      <c r="O218" s="4">
        <v>62.09</v>
      </c>
      <c r="Q218" s="4">
        <v>19.47</v>
      </c>
      <c r="R218" s="10"/>
      <c r="T218" s="4">
        <v>2.53</v>
      </c>
      <c r="U218" s="4">
        <v>10.64</v>
      </c>
      <c r="V218" s="4">
        <v>4.25</v>
      </c>
      <c r="W218" s="10">
        <v>1.02</v>
      </c>
      <c r="Y218" s="4">
        <v>100</v>
      </c>
      <c r="Z218" s="6" t="s">
        <v>497</v>
      </c>
    </row>
    <row r="219" spans="1:26" ht="12.75">
      <c r="A219">
        <v>215</v>
      </c>
      <c r="B219" s="6"/>
      <c r="C219" s="6"/>
      <c r="D219" s="6"/>
      <c r="E219" s="6"/>
      <c r="F219" s="6"/>
      <c r="G219" s="6"/>
      <c r="H219" s="6"/>
      <c r="I219" s="13"/>
      <c r="J219" s="6"/>
      <c r="K219" s="11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>
      <c r="A220">
        <v>216</v>
      </c>
      <c r="B220" s="4" t="s">
        <v>159</v>
      </c>
      <c r="C220" s="6" t="s">
        <v>580</v>
      </c>
      <c r="D220" s="6" t="s">
        <v>331</v>
      </c>
      <c r="E220" s="6"/>
      <c r="F220" s="6">
        <v>1</v>
      </c>
      <c r="G220" s="6"/>
      <c r="H220" s="6"/>
      <c r="I220" s="13"/>
      <c r="J220" s="6"/>
      <c r="K220" s="6">
        <v>-12.5</v>
      </c>
      <c r="L220" s="6">
        <v>0.4188</v>
      </c>
      <c r="M220" s="6">
        <v>20447</v>
      </c>
      <c r="N220" s="6">
        <v>720</v>
      </c>
      <c r="O220" s="10">
        <f>0.5*(48.2+48.8)</f>
        <v>48.5</v>
      </c>
      <c r="P220" s="10">
        <f>0.5*(2.3+3.1)</f>
        <v>2.7</v>
      </c>
      <c r="Q220" s="10">
        <f>0.5*(14+13.6)</f>
        <v>13.8</v>
      </c>
      <c r="R220" s="10">
        <f>0.5*(12.7+12.6)</f>
        <v>12.649999999999999</v>
      </c>
      <c r="S220" s="10"/>
      <c r="T220" s="10">
        <f>0.5*(8.1+7)</f>
        <v>7.55</v>
      </c>
      <c r="U220" s="10">
        <f>0.5*(11.1+10.7)</f>
        <v>10.899999999999999</v>
      </c>
      <c r="V220" s="10">
        <f>0.5*(2.5+2.5)</f>
        <v>2.5</v>
      </c>
      <c r="W220" s="10">
        <f>0.5*(0.48+0.34)</f>
        <v>0.41000000000000003</v>
      </c>
      <c r="X220" s="10"/>
      <c r="Y220" s="10">
        <f>0.5*(99.38+98.64)</f>
        <v>99.00999999999999</v>
      </c>
      <c r="Z220" s="6" t="s">
        <v>711</v>
      </c>
    </row>
    <row r="221" spans="1:26" ht="12.75">
      <c r="A221">
        <v>217</v>
      </c>
      <c r="B221" s="4" t="s">
        <v>169</v>
      </c>
      <c r="C221" s="6" t="s">
        <v>580</v>
      </c>
      <c r="D221" s="6" t="s">
        <v>331</v>
      </c>
      <c r="E221" s="6" t="s">
        <v>323</v>
      </c>
      <c r="F221" s="6" t="s">
        <v>616</v>
      </c>
      <c r="G221" s="6"/>
      <c r="H221" s="6"/>
      <c r="I221" s="13"/>
      <c r="J221" s="6"/>
      <c r="K221" s="11" t="s">
        <v>324</v>
      </c>
      <c r="L221" s="6"/>
      <c r="M221" s="6"/>
      <c r="N221" s="6"/>
      <c r="O221" s="10">
        <f>0.5*(50.14+49.54)</f>
        <v>49.84</v>
      </c>
      <c r="P221" s="10"/>
      <c r="Q221" s="10">
        <f>0.5*(17.81+17.67)</f>
        <v>17.740000000000002</v>
      </c>
      <c r="R221" s="10"/>
      <c r="S221" s="10"/>
      <c r="T221" s="10">
        <f>0.5*(9.87+9.62)</f>
        <v>9.745</v>
      </c>
      <c r="U221" s="10">
        <f>0.5*(23.91+23.43)</f>
        <v>23.67</v>
      </c>
      <c r="V221" s="10"/>
      <c r="W221" s="10"/>
      <c r="X221" s="10"/>
      <c r="Y221" s="10">
        <f>0.5*(101.73+100.26)</f>
        <v>100.995</v>
      </c>
      <c r="Z221" s="6" t="s">
        <v>276</v>
      </c>
    </row>
    <row r="222" spans="1:26" ht="12.75">
      <c r="A222">
        <v>218</v>
      </c>
      <c r="B222" s="4" t="s">
        <v>168</v>
      </c>
      <c r="C222" s="6" t="s">
        <v>580</v>
      </c>
      <c r="D222" s="6" t="s">
        <v>331</v>
      </c>
      <c r="E222" s="6" t="s">
        <v>433</v>
      </c>
      <c r="F222" s="6">
        <v>1.5</v>
      </c>
      <c r="G222" s="6"/>
      <c r="H222" s="6"/>
      <c r="I222" s="13"/>
      <c r="J222" s="6"/>
      <c r="K222" s="13">
        <v>-10.84</v>
      </c>
      <c r="L222" s="2">
        <v>1.216</v>
      </c>
      <c r="M222" s="6">
        <v>31815</v>
      </c>
      <c r="N222" s="6">
        <v>2132</v>
      </c>
      <c r="O222" s="10">
        <v>59.45</v>
      </c>
      <c r="P222" s="10"/>
      <c r="Q222" s="10">
        <v>25.22</v>
      </c>
      <c r="R222" s="10"/>
      <c r="S222" s="10"/>
      <c r="T222" s="10"/>
      <c r="U222" s="10"/>
      <c r="V222" s="10">
        <v>15.33</v>
      </c>
      <c r="W222" s="10"/>
      <c r="X222" s="10"/>
      <c r="Y222" s="10">
        <f>SUM(O222:X222)</f>
        <v>100</v>
      </c>
      <c r="Z222" s="6" t="s">
        <v>720</v>
      </c>
    </row>
    <row r="223" spans="1:26" ht="12.75">
      <c r="A223">
        <v>219</v>
      </c>
      <c r="B223" s="4" t="s">
        <v>168</v>
      </c>
      <c r="C223" s="6" t="s">
        <v>580</v>
      </c>
      <c r="D223" s="6" t="s">
        <v>331</v>
      </c>
      <c r="E223" s="6" t="s">
        <v>433</v>
      </c>
      <c r="F223" s="6" t="s">
        <v>434</v>
      </c>
      <c r="G223" s="6"/>
      <c r="H223" s="6"/>
      <c r="I223" s="13"/>
      <c r="J223" s="6"/>
      <c r="K223" s="11" t="s">
        <v>395</v>
      </c>
      <c r="L223" s="6"/>
      <c r="M223" s="6"/>
      <c r="N223" s="6"/>
      <c r="O223" s="10">
        <v>59.45</v>
      </c>
      <c r="P223" s="10"/>
      <c r="Q223" s="10">
        <v>25.22</v>
      </c>
      <c r="R223" s="10"/>
      <c r="S223" s="10"/>
      <c r="T223" s="10"/>
      <c r="U223" s="10"/>
      <c r="V223" s="10">
        <v>15.33</v>
      </c>
      <c r="W223" s="10"/>
      <c r="X223" s="10"/>
      <c r="Y223" s="10">
        <f>SUM(O223:X223)</f>
        <v>100</v>
      </c>
      <c r="Z223" s="6" t="s">
        <v>720</v>
      </c>
    </row>
    <row r="224" spans="1:26" ht="12.75">
      <c r="A224">
        <v>220</v>
      </c>
      <c r="B224" s="4" t="s">
        <v>110</v>
      </c>
      <c r="C224" s="6" t="s">
        <v>580</v>
      </c>
      <c r="D224" s="6" t="s">
        <v>331</v>
      </c>
      <c r="E224" s="6" t="s">
        <v>614</v>
      </c>
      <c r="F224" s="17" t="s">
        <v>616</v>
      </c>
      <c r="G224" s="6"/>
      <c r="H224" s="6"/>
      <c r="I224" s="13"/>
      <c r="J224" s="6"/>
      <c r="K224" s="11" t="s">
        <v>595</v>
      </c>
      <c r="L224" s="6"/>
      <c r="M224" s="6"/>
      <c r="N224" s="6"/>
      <c r="O224" s="4">
        <f>0.5*(68.39+69.38)</f>
        <v>68.88499999999999</v>
      </c>
      <c r="P224" s="4">
        <f>0.5*(0.52+0.54)</f>
        <v>0.53</v>
      </c>
      <c r="Q224" s="4">
        <f>0.5*(17.46+16.87)</f>
        <v>17.165</v>
      </c>
      <c r="R224" s="10"/>
      <c r="T224" s="4">
        <f>0.5*(3.53+3.36)</f>
        <v>3.445</v>
      </c>
      <c r="U224" s="4">
        <f>0.5*(3.12+3.04)</f>
        <v>3.08</v>
      </c>
      <c r="V224" s="4">
        <f>0.5*(4.11+3.91)</f>
        <v>4.01</v>
      </c>
      <c r="W224" s="10">
        <f>0.5*(3.57+3.92)</f>
        <v>3.745</v>
      </c>
      <c r="Y224" s="4">
        <f>0.5*(100.7+101.02)</f>
        <v>100.86</v>
      </c>
      <c r="Z224" s="14" t="s">
        <v>277</v>
      </c>
    </row>
    <row r="225" spans="1:26" ht="12.75">
      <c r="A225">
        <v>221</v>
      </c>
      <c r="B225" s="6" t="s">
        <v>325</v>
      </c>
      <c r="C225" s="6" t="s">
        <v>580</v>
      </c>
      <c r="D225" s="6" t="s">
        <v>331</v>
      </c>
      <c r="E225" s="6" t="s">
        <v>326</v>
      </c>
      <c r="F225" s="6" t="s">
        <v>427</v>
      </c>
      <c r="G225" s="6"/>
      <c r="H225" s="6"/>
      <c r="I225" s="13"/>
      <c r="J225" s="6"/>
      <c r="K225" s="11" t="s">
        <v>374</v>
      </c>
      <c r="L225" s="6"/>
      <c r="M225" s="6"/>
      <c r="N225" s="6"/>
      <c r="O225" s="10">
        <v>79.5</v>
      </c>
      <c r="P225" s="10"/>
      <c r="Q225" s="10"/>
      <c r="R225" s="10"/>
      <c r="S225" s="10"/>
      <c r="T225" s="10"/>
      <c r="U225" s="10"/>
      <c r="V225" s="10">
        <v>20.5</v>
      </c>
      <c r="W225" s="10"/>
      <c r="X225" s="10"/>
      <c r="Y225" s="10">
        <f>SUM(O225:X225)</f>
        <v>100</v>
      </c>
      <c r="Z225" s="6" t="s">
        <v>712</v>
      </c>
    </row>
    <row r="226" spans="1:26" ht="12.75">
      <c r="A226">
        <v>222</v>
      </c>
      <c r="B226" s="6"/>
      <c r="C226" s="6"/>
      <c r="D226" s="6"/>
      <c r="E226" s="6"/>
      <c r="F226" s="6"/>
      <c r="G226" s="6"/>
      <c r="H226" s="6"/>
      <c r="I226" s="13"/>
      <c r="J226" s="6"/>
      <c r="K226" s="1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7" s="2" customFormat="1" ht="12.75">
      <c r="A227">
        <v>223</v>
      </c>
      <c r="B227" s="6" t="s">
        <v>191</v>
      </c>
      <c r="C227" s="6" t="s">
        <v>467</v>
      </c>
      <c r="D227" s="4" t="s">
        <v>130</v>
      </c>
      <c r="E227" s="6" t="s">
        <v>192</v>
      </c>
      <c r="F227" s="6" t="s">
        <v>594</v>
      </c>
      <c r="G227" s="6"/>
      <c r="H227" s="6"/>
      <c r="I227" s="13"/>
      <c r="J227" s="6"/>
      <c r="K227" s="13">
        <v>-8.26</v>
      </c>
      <c r="L227" s="6">
        <f>2*2.25</f>
        <v>4.5</v>
      </c>
      <c r="M227" s="6">
        <v>26620</v>
      </c>
      <c r="N227" s="6">
        <f>2*3644</f>
        <v>7288</v>
      </c>
      <c r="O227" s="10">
        <f>0.5*(47.25+47.13)</f>
        <v>47.19</v>
      </c>
      <c r="P227" s="10">
        <f>0.5*(1.67+1.72)</f>
        <v>1.6949999999999998</v>
      </c>
      <c r="Q227" s="10">
        <f>0.5*(16.73+16.58)</f>
        <v>16.655</v>
      </c>
      <c r="R227" s="10">
        <f>0.5*(9.86+10.86)</f>
        <v>10.36</v>
      </c>
      <c r="S227" s="10">
        <v>0.18</v>
      </c>
      <c r="T227" s="10">
        <f>0.5*(6.31+6.3)</f>
        <v>6.305</v>
      </c>
      <c r="U227" s="10">
        <f>0.5*(10.58+10.61)</f>
        <v>10.594999999999999</v>
      </c>
      <c r="V227" s="10">
        <f>0.5*(3.74+3.15)</f>
        <v>3.4450000000000003</v>
      </c>
      <c r="W227" s="10">
        <v>1.7</v>
      </c>
      <c r="X227" s="10">
        <f>0.5*(0.54+0.53)</f>
        <v>0.535</v>
      </c>
      <c r="Y227" s="10">
        <f>0.5*(98.6+99.09)</f>
        <v>98.845</v>
      </c>
      <c r="Z227" s="6" t="s">
        <v>695</v>
      </c>
      <c r="AA227"/>
    </row>
    <row r="228" spans="1:27" s="2" customFormat="1" ht="12.75">
      <c r="A228">
        <v>224</v>
      </c>
      <c r="B228" s="6" t="s">
        <v>193</v>
      </c>
      <c r="C228" s="6" t="s">
        <v>467</v>
      </c>
      <c r="D228" s="4" t="s">
        <v>130</v>
      </c>
      <c r="E228" s="6" t="s">
        <v>192</v>
      </c>
      <c r="F228" s="6" t="s">
        <v>594</v>
      </c>
      <c r="G228" s="6"/>
      <c r="H228" s="6"/>
      <c r="I228" s="13"/>
      <c r="J228" s="6"/>
      <c r="K228" s="13">
        <v>-12.27</v>
      </c>
      <c r="L228" s="6">
        <f>2*2.588</f>
        <v>5.176</v>
      </c>
      <c r="M228" s="6">
        <v>21930</v>
      </c>
      <c r="N228" s="6">
        <f>2*4095.3</f>
        <v>8190.6</v>
      </c>
      <c r="O228" s="10">
        <f>0.5*(50.78+48.91)</f>
        <v>49.845</v>
      </c>
      <c r="P228" s="10">
        <v>0.94</v>
      </c>
      <c r="Q228" s="10">
        <f>0.5*(18.47+17.79)</f>
        <v>18.13</v>
      </c>
      <c r="R228" s="10">
        <f>0.5*(6.38+7.78)</f>
        <v>7.08</v>
      </c>
      <c r="S228" s="10">
        <f>0.5*(0.15+0.16)</f>
        <v>0.155</v>
      </c>
      <c r="T228" s="10">
        <f>0.5*(6.35+6.17)</f>
        <v>6.26</v>
      </c>
      <c r="U228" s="10">
        <f>0.5*(12.2+11.9)</f>
        <v>12.05</v>
      </c>
      <c r="V228" s="10">
        <f>0.5*(2.43+2.41)</f>
        <v>2.42</v>
      </c>
      <c r="W228" s="10">
        <f>0.5*(1.89+1.88)</f>
        <v>1.8849999999999998</v>
      </c>
      <c r="X228" s="10">
        <f>0.5*(0.38+0.56)</f>
        <v>0.47000000000000003</v>
      </c>
      <c r="Y228" s="10">
        <f>0.5*(100.01+99.07)</f>
        <v>99.53999999999999</v>
      </c>
      <c r="Z228" s="6" t="s">
        <v>694</v>
      </c>
      <c r="AA228"/>
    </row>
    <row r="229" spans="1:27" s="2" customFormat="1" ht="12.75">
      <c r="A229">
        <v>225</v>
      </c>
      <c r="B229" s="6" t="s">
        <v>190</v>
      </c>
      <c r="C229" s="6" t="s">
        <v>467</v>
      </c>
      <c r="D229" s="4" t="s">
        <v>130</v>
      </c>
      <c r="E229" s="6" t="s">
        <v>517</v>
      </c>
      <c r="F229" s="6">
        <v>1</v>
      </c>
      <c r="G229" s="6"/>
      <c r="H229" s="6"/>
      <c r="I229" s="13"/>
      <c r="J229" s="6"/>
      <c r="K229" s="13">
        <v>-13.82</v>
      </c>
      <c r="L229" s="6"/>
      <c r="M229" s="6">
        <v>22972</v>
      </c>
      <c r="N229" s="6"/>
      <c r="O229" s="10">
        <v>61</v>
      </c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3" t="s">
        <v>708</v>
      </c>
      <c r="AA229"/>
    </row>
    <row r="230" spans="1:27" s="2" customFormat="1" ht="12.75">
      <c r="A230">
        <v>226</v>
      </c>
      <c r="B230" s="6" t="s">
        <v>107</v>
      </c>
      <c r="C230" s="6" t="s">
        <v>467</v>
      </c>
      <c r="D230" s="4" t="s">
        <v>130</v>
      </c>
      <c r="E230" s="6" t="s">
        <v>517</v>
      </c>
      <c r="F230" s="6">
        <v>1</v>
      </c>
      <c r="G230" s="6"/>
      <c r="H230" s="6"/>
      <c r="I230" s="13"/>
      <c r="J230" s="6"/>
      <c r="K230" s="13">
        <v>-8.87</v>
      </c>
      <c r="L230" s="6"/>
      <c r="M230" s="6">
        <v>31632</v>
      </c>
      <c r="N230" s="6"/>
      <c r="O230" s="10">
        <v>68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3" t="s">
        <v>539</v>
      </c>
      <c r="AA230"/>
    </row>
    <row r="231" spans="1:27" s="2" customFormat="1" ht="12.75">
      <c r="A231">
        <v>227</v>
      </c>
      <c r="B231" s="6" t="s">
        <v>109</v>
      </c>
      <c r="C231" s="6" t="s">
        <v>467</v>
      </c>
      <c r="D231" s="4" t="s">
        <v>130</v>
      </c>
      <c r="E231" s="6" t="s">
        <v>517</v>
      </c>
      <c r="F231" s="6">
        <v>1.05</v>
      </c>
      <c r="G231" s="6"/>
      <c r="H231" s="6"/>
      <c r="I231" s="13">
        <v>0.05</v>
      </c>
      <c r="J231" s="6"/>
      <c r="K231" s="13">
        <v>3.44</v>
      </c>
      <c r="L231" s="6">
        <f>2-10.0755</f>
        <v>-8.0755</v>
      </c>
      <c r="M231" s="6">
        <v>55757</v>
      </c>
      <c r="N231" s="6">
        <f>2*16841.3</f>
        <v>33682.6</v>
      </c>
      <c r="O231" s="10">
        <f>0.5*(68.2+68.4)</f>
        <v>68.30000000000001</v>
      </c>
      <c r="P231" s="10"/>
      <c r="Q231" s="10">
        <f>0.5*(19.3+19.6)</f>
        <v>19.450000000000003</v>
      </c>
      <c r="R231" s="10">
        <f>0.5*(0+0.01)</f>
        <v>0.005</v>
      </c>
      <c r="S231" s="10">
        <f>0.5*(0.12+0.01)</f>
        <v>0.065</v>
      </c>
      <c r="T231" s="10">
        <f>0.5*(0.18+0)</f>
        <v>0.09</v>
      </c>
      <c r="U231" s="10">
        <f>0.5*(0.14+0)</f>
        <v>0.07</v>
      </c>
      <c r="V231" s="10">
        <f>0.5*(11.1+11.3)</f>
        <v>11.2</v>
      </c>
      <c r="W231" s="10">
        <f>0.5*(0+0.11)</f>
        <v>0.055</v>
      </c>
      <c r="X231" s="10"/>
      <c r="Y231" s="10">
        <f>0.5*(99+99.4)</f>
        <v>99.2</v>
      </c>
      <c r="Z231" s="6" t="s">
        <v>713</v>
      </c>
      <c r="AA231"/>
    </row>
    <row r="232" spans="1:27" s="2" customFormat="1" ht="12.75">
      <c r="A232">
        <v>228</v>
      </c>
      <c r="B232" s="6"/>
      <c r="C232" s="6"/>
      <c r="D232" s="6"/>
      <c r="E232" s="6"/>
      <c r="F232" s="6"/>
      <c r="G232" s="6"/>
      <c r="H232" s="6"/>
      <c r="I232" s="13"/>
      <c r="J232" s="6"/>
      <c r="K232" s="13"/>
      <c r="L232" s="6"/>
      <c r="M232" s="6"/>
      <c r="N232" s="6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6"/>
      <c r="AA232"/>
    </row>
    <row r="233" spans="1:26" s="2" customFormat="1" ht="12.75">
      <c r="A233">
        <v>229</v>
      </c>
      <c r="B233" s="4" t="s">
        <v>160</v>
      </c>
      <c r="C233" s="6" t="s">
        <v>512</v>
      </c>
      <c r="D233" s="4" t="s">
        <v>130</v>
      </c>
      <c r="E233" s="6" t="s">
        <v>603</v>
      </c>
      <c r="F233" s="6">
        <v>0.1</v>
      </c>
      <c r="G233" s="6"/>
      <c r="H233" s="6"/>
      <c r="I233" s="13"/>
      <c r="J233" s="6"/>
      <c r="K233" s="13">
        <v>3.16</v>
      </c>
      <c r="L233" s="6">
        <v>17.64</v>
      </c>
      <c r="M233" s="6">
        <v>45699</v>
      </c>
      <c r="N233" s="6">
        <v>27696</v>
      </c>
      <c r="O233" s="10">
        <v>48.8</v>
      </c>
      <c r="P233" s="10"/>
      <c r="Q233" s="10">
        <v>15.6</v>
      </c>
      <c r="R233" s="10"/>
      <c r="S233" s="10"/>
      <c r="T233" s="10">
        <v>10.7</v>
      </c>
      <c r="U233" s="10">
        <v>24.6</v>
      </c>
      <c r="V233" s="10"/>
      <c r="W233" s="10"/>
      <c r="X233" s="10"/>
      <c r="Y233" s="10">
        <v>99.8</v>
      </c>
      <c r="Z233" s="4" t="s">
        <v>593</v>
      </c>
    </row>
    <row r="234" spans="1:27" s="2" customFormat="1" ht="12.75">
      <c r="A234">
        <v>230</v>
      </c>
      <c r="B234" s="6"/>
      <c r="C234" s="6"/>
      <c r="D234" s="6"/>
      <c r="E234" s="6"/>
      <c r="F234" s="6"/>
      <c r="G234" s="6"/>
      <c r="H234" s="6"/>
      <c r="I234" s="13"/>
      <c r="J234" s="6"/>
      <c r="K234" s="1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/>
    </row>
    <row r="235" spans="1:27" s="2" customFormat="1" ht="12.75">
      <c r="A235">
        <v>231</v>
      </c>
      <c r="B235" s="4" t="s">
        <v>155</v>
      </c>
      <c r="C235" s="4" t="s">
        <v>494</v>
      </c>
      <c r="D235" s="4" t="s">
        <v>69</v>
      </c>
      <c r="E235" s="4" t="s">
        <v>440</v>
      </c>
      <c r="F235" s="4" t="s">
        <v>594</v>
      </c>
      <c r="G235" s="4"/>
      <c r="H235" s="4"/>
      <c r="I235" s="10"/>
      <c r="J235" s="4"/>
      <c r="K235" s="4">
        <v>-9.46</v>
      </c>
      <c r="L235" s="4">
        <v>3.32</v>
      </c>
      <c r="M235" s="4">
        <v>22967</v>
      </c>
      <c r="N235" s="4">
        <v>5384</v>
      </c>
      <c r="O235" s="4">
        <f>0.5*(47.61+48.29)</f>
        <v>47.95</v>
      </c>
      <c r="P235" s="4">
        <f>0.5*(1.67+1.63)</f>
        <v>1.65</v>
      </c>
      <c r="Q235" s="4">
        <f>0.5*(16.63+16.93)</f>
        <v>16.78</v>
      </c>
      <c r="R235" s="10">
        <f>0.5*(10.18+10.57)</f>
        <v>10.375</v>
      </c>
      <c r="S235" s="4">
        <f>0.5*(0.17+0.18)</f>
        <v>0.175</v>
      </c>
      <c r="T235" s="4">
        <f>0.5*(6.13+6.32)</f>
        <v>6.225</v>
      </c>
      <c r="U235" s="4">
        <f>0.5*(10.68+10.83)</f>
        <v>10.754999999999999</v>
      </c>
      <c r="V235" s="4">
        <f>0.5*(4.28+3.62)</f>
        <v>3.95</v>
      </c>
      <c r="W235" s="10">
        <f>0.5*(1.79+1.78)</f>
        <v>1.7850000000000001</v>
      </c>
      <c r="X235" s="4">
        <f>0.5*(0.53+0.55)</f>
        <v>0.54</v>
      </c>
      <c r="Y235" s="4">
        <f>0.5*(100.04+100.81)</f>
        <v>100.42500000000001</v>
      </c>
      <c r="Z235" s="15" t="s">
        <v>355</v>
      </c>
      <c r="AA235"/>
    </row>
    <row r="236" spans="1:26" s="2" customFormat="1" ht="12.75">
      <c r="A236">
        <v>232</v>
      </c>
      <c r="B236" s="4" t="s">
        <v>156</v>
      </c>
      <c r="C236" s="4" t="s">
        <v>494</v>
      </c>
      <c r="D236" s="4" t="s">
        <v>69</v>
      </c>
      <c r="E236" s="4" t="s">
        <v>440</v>
      </c>
      <c r="F236" s="4">
        <v>1</v>
      </c>
      <c r="G236" s="4"/>
      <c r="H236" s="4"/>
      <c r="I236" s="10">
        <v>3</v>
      </c>
      <c r="J236" s="4"/>
      <c r="K236" s="4">
        <v>-8.62</v>
      </c>
      <c r="L236" s="4">
        <v>5.16</v>
      </c>
      <c r="M236" s="4">
        <v>23441</v>
      </c>
      <c r="N236" s="4">
        <v>8228</v>
      </c>
      <c r="O236" s="4">
        <f>0.5*(47.61+48.29)</f>
        <v>47.95</v>
      </c>
      <c r="P236" s="4">
        <f>0.5*(1.67+1.63)</f>
        <v>1.65</v>
      </c>
      <c r="Q236" s="4">
        <f>0.5*(16.63+16.93)</f>
        <v>16.78</v>
      </c>
      <c r="R236" s="10">
        <f>0.5*(10.18+10.57)</f>
        <v>10.375</v>
      </c>
      <c r="S236" s="4">
        <f>0.5*(0.17+0.18)</f>
        <v>0.175</v>
      </c>
      <c r="T236" s="4">
        <f>0.5*(6.13+6.32)</f>
        <v>6.225</v>
      </c>
      <c r="U236" s="4">
        <f>0.5*(10.68+10.83)</f>
        <v>10.754999999999999</v>
      </c>
      <c r="V236" s="4">
        <f>0.5*(4.28+3.62)</f>
        <v>3.95</v>
      </c>
      <c r="W236" s="10">
        <f>0.5*(1.79+1.78)</f>
        <v>1.7850000000000001</v>
      </c>
      <c r="X236" s="4">
        <f>0.5*(0.53+0.55)</f>
        <v>0.54</v>
      </c>
      <c r="Y236" s="4">
        <f>0.5*(100.04+100.81)</f>
        <v>100.42500000000001</v>
      </c>
      <c r="Z236" s="15" t="s">
        <v>355</v>
      </c>
    </row>
    <row r="237" spans="1:27" s="2" customFormat="1" ht="12.75">
      <c r="A237">
        <v>233</v>
      </c>
      <c r="B237" s="4" t="s">
        <v>165</v>
      </c>
      <c r="C237" s="4" t="s">
        <v>494</v>
      </c>
      <c r="D237" s="4" t="s">
        <v>69</v>
      </c>
      <c r="E237" s="4" t="s">
        <v>644</v>
      </c>
      <c r="F237" s="4">
        <v>1</v>
      </c>
      <c r="G237" s="4"/>
      <c r="H237" s="4"/>
      <c r="I237" s="10"/>
      <c r="J237" s="4"/>
      <c r="K237" s="4">
        <v>-9.64</v>
      </c>
      <c r="L237" s="4">
        <v>3.288</v>
      </c>
      <c r="M237" s="4">
        <v>23937</v>
      </c>
      <c r="N237" s="4">
        <v>5275.4</v>
      </c>
      <c r="O237" s="4">
        <f>0.5*(56.1+55.55)</f>
        <v>55.825</v>
      </c>
      <c r="P237" s="4">
        <f>0.5*(0.19+0.25)</f>
        <v>0.22</v>
      </c>
      <c r="Q237" s="4">
        <f>0.5*(22.29+22.42)</f>
        <v>22.355</v>
      </c>
      <c r="R237" s="10">
        <f>0.5*(2.17+2.35)</f>
        <v>2.26</v>
      </c>
      <c r="S237" s="4">
        <f>0.5*(0.11+0.13)</f>
        <v>0.12</v>
      </c>
      <c r="T237" s="4">
        <f>0.5*(0.21+0.2)</f>
        <v>0.20500000000000002</v>
      </c>
      <c r="U237" s="4">
        <f>0.5*(2.78+2.56)</f>
        <v>2.67</v>
      </c>
      <c r="V237" s="4">
        <f>0.5*(6.26+6.66)</f>
        <v>6.46</v>
      </c>
      <c r="W237" s="10">
        <v>9.89</v>
      </c>
      <c r="X237" s="10"/>
      <c r="Y237" s="4">
        <v>100</v>
      </c>
      <c r="Z237" s="14" t="s">
        <v>261</v>
      </c>
      <c r="AA237"/>
    </row>
    <row r="238" spans="1:27" s="2" customFormat="1" ht="12.75">
      <c r="A238">
        <v>234</v>
      </c>
      <c r="B238" s="4" t="s">
        <v>569</v>
      </c>
      <c r="C238" s="4" t="s">
        <v>494</v>
      </c>
      <c r="D238" s="4" t="s">
        <v>69</v>
      </c>
      <c r="E238" s="4" t="s">
        <v>645</v>
      </c>
      <c r="F238" s="4">
        <v>1</v>
      </c>
      <c r="G238" s="4"/>
      <c r="H238" s="4"/>
      <c r="I238" s="10">
        <v>2</v>
      </c>
      <c r="J238" s="4"/>
      <c r="K238" s="4">
        <v>-16.25</v>
      </c>
      <c r="L238" s="4">
        <v>3.614</v>
      </c>
      <c r="M238" s="4">
        <v>12466</v>
      </c>
      <c r="N238" s="4">
        <v>5845</v>
      </c>
      <c r="O238" s="4">
        <f>0.5*(56.1+55.55)</f>
        <v>55.825</v>
      </c>
      <c r="P238" s="4">
        <f>0.5*(0.19+0.25)</f>
        <v>0.22</v>
      </c>
      <c r="Q238" s="4">
        <f>0.5*(22.29+22.42)</f>
        <v>22.355</v>
      </c>
      <c r="R238" s="10">
        <f>0.5*(2.17+2.35)</f>
        <v>2.26</v>
      </c>
      <c r="S238" s="4">
        <f>0.5*(0.11+0.13)</f>
        <v>0.12</v>
      </c>
      <c r="T238" s="4">
        <f>0.5*(0.21+0.2)</f>
        <v>0.20500000000000002</v>
      </c>
      <c r="U238" s="4">
        <f>0.5*(2.78+2.56)</f>
        <v>2.67</v>
      </c>
      <c r="V238" s="4">
        <f>0.5*(6.26+6.66)</f>
        <v>6.46</v>
      </c>
      <c r="W238" s="10">
        <v>9.89</v>
      </c>
      <c r="X238" s="10"/>
      <c r="Y238" s="4">
        <v>100</v>
      </c>
      <c r="Z238" s="14" t="s">
        <v>261</v>
      </c>
      <c r="AA238"/>
    </row>
    <row r="239" spans="1:27" s="2" customFormat="1" ht="12.75">
      <c r="A239">
        <v>235</v>
      </c>
      <c r="B239" s="4" t="s">
        <v>569</v>
      </c>
      <c r="C239" s="4" t="s">
        <v>494</v>
      </c>
      <c r="D239" s="4" t="s">
        <v>69</v>
      </c>
      <c r="E239" s="4" t="s">
        <v>440</v>
      </c>
      <c r="F239" s="4">
        <v>1</v>
      </c>
      <c r="G239" s="4"/>
      <c r="H239" s="4"/>
      <c r="I239" s="10">
        <v>5</v>
      </c>
      <c r="J239" s="4"/>
      <c r="K239" s="4">
        <v>-14.88</v>
      </c>
      <c r="L239" s="4">
        <v>2.19</v>
      </c>
      <c r="M239" s="4">
        <v>13103</v>
      </c>
      <c r="N239" s="4">
        <v>3542.6</v>
      </c>
      <c r="O239" s="4">
        <f>0.5*(56.1+55.55)</f>
        <v>55.825</v>
      </c>
      <c r="P239" s="4">
        <f>0.5*(0.19+0.25)</f>
        <v>0.22</v>
      </c>
      <c r="Q239" s="4">
        <f>0.5*(22.29+22.42)</f>
        <v>22.355</v>
      </c>
      <c r="R239" s="10">
        <f>0.5*(2.17+2.35)</f>
        <v>2.26</v>
      </c>
      <c r="S239" s="4">
        <f>0.5*(0.11+0.13)</f>
        <v>0.12</v>
      </c>
      <c r="T239" s="4">
        <f>0.5*(0.21+0.2)</f>
        <v>0.20500000000000002</v>
      </c>
      <c r="U239" s="4">
        <f>0.5*(2.78+2.56)</f>
        <v>2.67</v>
      </c>
      <c r="V239" s="4">
        <f>0.5*(6.26+6.66)</f>
        <v>6.46</v>
      </c>
      <c r="W239" s="10">
        <v>9.89</v>
      </c>
      <c r="X239" s="10"/>
      <c r="Y239" s="4">
        <v>100</v>
      </c>
      <c r="Z239" s="14" t="s">
        <v>261</v>
      </c>
      <c r="AA239"/>
    </row>
    <row r="240" spans="1:27" s="2" customFormat="1" ht="12.75">
      <c r="A240">
        <v>236</v>
      </c>
      <c r="B240" s="4" t="s">
        <v>671</v>
      </c>
      <c r="C240" s="4" t="s">
        <v>494</v>
      </c>
      <c r="D240" s="4" t="s">
        <v>581</v>
      </c>
      <c r="E240" s="4" t="s">
        <v>644</v>
      </c>
      <c r="F240" s="4">
        <v>1</v>
      </c>
      <c r="G240" s="4"/>
      <c r="H240" s="4"/>
      <c r="I240" s="10" t="s">
        <v>672</v>
      </c>
      <c r="J240" s="4"/>
      <c r="K240" s="8" t="s">
        <v>32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6" t="s">
        <v>151</v>
      </c>
      <c r="AA240"/>
    </row>
    <row r="241" spans="1:27" s="2" customFormat="1" ht="12.75">
      <c r="A241">
        <v>237</v>
      </c>
      <c r="B241" s="4" t="s">
        <v>166</v>
      </c>
      <c r="C241" s="4" t="s">
        <v>494</v>
      </c>
      <c r="D241" s="4" t="s">
        <v>69</v>
      </c>
      <c r="E241" s="4" t="s">
        <v>644</v>
      </c>
      <c r="F241" s="4">
        <v>1</v>
      </c>
      <c r="G241" s="4"/>
      <c r="H241" s="4"/>
      <c r="I241" s="10"/>
      <c r="J241" s="4"/>
      <c r="K241" s="4">
        <v>-12.8</v>
      </c>
      <c r="L241" s="4">
        <v>1.82</v>
      </c>
      <c r="M241" s="4">
        <v>18004</v>
      </c>
      <c r="N241" s="4">
        <v>2909.2</v>
      </c>
      <c r="O241" s="4">
        <f>0.5*(58.33+56.68)</f>
        <v>57.504999999999995</v>
      </c>
      <c r="P241" s="4">
        <f>0.5*(0.15+0.17)</f>
        <v>0.16</v>
      </c>
      <c r="Q241" s="4">
        <f>0.5*(23.26+22.59)</f>
        <v>22.925</v>
      </c>
      <c r="R241" s="10">
        <f>0.5*(1.69+1.98)</f>
        <v>1.835</v>
      </c>
      <c r="S241" s="4">
        <f>0.5*(0.48+0.51)</f>
        <v>0.495</v>
      </c>
      <c r="T241" s="4">
        <v>0.07</v>
      </c>
      <c r="U241" s="4">
        <f>0.5*(0.42+0.48)</f>
        <v>0.44999999999999996</v>
      </c>
      <c r="V241" s="4">
        <f>0.5*(10.53+12.66)</f>
        <v>11.594999999999999</v>
      </c>
      <c r="W241" s="10">
        <f>0.5*(5.07+4.86)</f>
        <v>4.965</v>
      </c>
      <c r="X241" s="10"/>
      <c r="Y241" s="4">
        <v>100</v>
      </c>
      <c r="Z241" s="14" t="s">
        <v>261</v>
      </c>
      <c r="AA241"/>
    </row>
    <row r="242" spans="1:27" s="2" customFormat="1" ht="12.75">
      <c r="A242">
        <v>238</v>
      </c>
      <c r="B242" s="4" t="s">
        <v>567</v>
      </c>
      <c r="C242" s="4" t="s">
        <v>494</v>
      </c>
      <c r="D242" s="4" t="s">
        <v>69</v>
      </c>
      <c r="E242" s="4" t="s">
        <v>645</v>
      </c>
      <c r="F242" s="4">
        <v>1</v>
      </c>
      <c r="G242" s="4"/>
      <c r="H242" s="4"/>
      <c r="I242" s="10">
        <v>2</v>
      </c>
      <c r="J242" s="4"/>
      <c r="K242" s="4">
        <v>-14.41</v>
      </c>
      <c r="L242" s="4">
        <v>5.66</v>
      </c>
      <c r="M242" s="4">
        <v>14716</v>
      </c>
      <c r="N242" s="4">
        <v>9150.8</v>
      </c>
      <c r="O242" s="4">
        <f>0.5*(58.33+56.68)</f>
        <v>57.504999999999995</v>
      </c>
      <c r="P242" s="4">
        <f>0.5*(0.15+0.17)</f>
        <v>0.16</v>
      </c>
      <c r="Q242" s="4">
        <f>0.5*(23.26+22.59)</f>
        <v>22.925</v>
      </c>
      <c r="R242" s="10">
        <f>0.5*(1.69+1.98)</f>
        <v>1.835</v>
      </c>
      <c r="S242" s="4">
        <f>0.5*(0.48+0.51)</f>
        <v>0.495</v>
      </c>
      <c r="T242" s="4">
        <v>0.07</v>
      </c>
      <c r="U242" s="4">
        <f>0.5*(0.42+0.48)</f>
        <v>0.44999999999999996</v>
      </c>
      <c r="V242" s="4">
        <f>0.5*(10.53+12.66)</f>
        <v>11.594999999999999</v>
      </c>
      <c r="W242" s="10">
        <f>0.5*(5.07+4.86)</f>
        <v>4.965</v>
      </c>
      <c r="X242" s="10"/>
      <c r="Y242" s="4">
        <v>100</v>
      </c>
      <c r="Z242" s="14" t="s">
        <v>261</v>
      </c>
      <c r="AA242"/>
    </row>
    <row r="243" spans="1:26" ht="12.75">
      <c r="A243">
        <v>239</v>
      </c>
      <c r="B243" s="4" t="s">
        <v>567</v>
      </c>
      <c r="C243" s="4" t="s">
        <v>494</v>
      </c>
      <c r="D243" s="4" t="s">
        <v>69</v>
      </c>
      <c r="E243" s="4" t="s">
        <v>440</v>
      </c>
      <c r="F243" s="4">
        <v>1</v>
      </c>
      <c r="I243" s="10">
        <v>5</v>
      </c>
      <c r="K243" s="4">
        <v>-13.01</v>
      </c>
      <c r="L243" s="4">
        <v>3.148</v>
      </c>
      <c r="M243" s="4">
        <v>16136</v>
      </c>
      <c r="N243" s="4">
        <v>5091.2</v>
      </c>
      <c r="O243" s="4">
        <f>0.5*(58.33+56.68)</f>
        <v>57.504999999999995</v>
      </c>
      <c r="P243" s="4">
        <f>0.5*(0.15+0.17)</f>
        <v>0.16</v>
      </c>
      <c r="Q243" s="4">
        <f>0.5*(23.26+22.59)</f>
        <v>22.925</v>
      </c>
      <c r="R243" s="10">
        <f>0.5*(1.69+1.98)</f>
        <v>1.835</v>
      </c>
      <c r="S243" s="4">
        <f>0.5*(0.48+0.51)</f>
        <v>0.495</v>
      </c>
      <c r="T243" s="4">
        <v>0.07</v>
      </c>
      <c r="U243" s="4">
        <f>0.5*(0.42+0.48)</f>
        <v>0.44999999999999996</v>
      </c>
      <c r="V243" s="4">
        <f>0.5*(10.53+12.66)</f>
        <v>11.594999999999999</v>
      </c>
      <c r="W243" s="10">
        <f>0.5*(5.07+4.86)</f>
        <v>4.965</v>
      </c>
      <c r="X243" s="10"/>
      <c r="Y243" s="4">
        <v>100</v>
      </c>
      <c r="Z243" s="14" t="s">
        <v>261</v>
      </c>
    </row>
    <row r="244" spans="1:26" ht="12.75">
      <c r="A244">
        <v>240</v>
      </c>
      <c r="B244" s="4" t="s">
        <v>566</v>
      </c>
      <c r="C244" s="4" t="s">
        <v>494</v>
      </c>
      <c r="D244" s="4" t="s">
        <v>581</v>
      </c>
      <c r="E244" s="4" t="s">
        <v>644</v>
      </c>
      <c r="F244" s="4">
        <v>1</v>
      </c>
      <c r="I244" s="10" t="s">
        <v>672</v>
      </c>
      <c r="K244" s="8" t="s">
        <v>33</v>
      </c>
      <c r="R244" s="10"/>
      <c r="W244" s="10"/>
      <c r="X244" s="10"/>
      <c r="Z244" s="6" t="s">
        <v>151</v>
      </c>
    </row>
    <row r="245" spans="1:26" ht="12.75">
      <c r="A245">
        <v>241</v>
      </c>
      <c r="B245" s="4" t="s">
        <v>168</v>
      </c>
      <c r="C245" s="4" t="s">
        <v>494</v>
      </c>
      <c r="D245" s="4" t="s">
        <v>133</v>
      </c>
      <c r="E245" s="4" t="s">
        <v>466</v>
      </c>
      <c r="F245" s="4">
        <v>0.0001</v>
      </c>
      <c r="K245" s="4">
        <v>-14.92</v>
      </c>
      <c r="L245" s="4">
        <v>2.32</v>
      </c>
      <c r="M245" s="4">
        <v>17377</v>
      </c>
      <c r="N245" s="4">
        <v>3640</v>
      </c>
      <c r="O245" s="4">
        <v>59.36245213153675</v>
      </c>
      <c r="Q245" s="4">
        <v>25.01765332057261</v>
      </c>
      <c r="R245" s="10"/>
      <c r="V245" s="4">
        <v>15.634072982232905</v>
      </c>
      <c r="W245" s="10"/>
      <c r="Y245" s="4">
        <v>100.01417843434227</v>
      </c>
      <c r="Z245" s="16" t="s">
        <v>285</v>
      </c>
    </row>
    <row r="246" spans="1:26" ht="12.75">
      <c r="A246">
        <v>242</v>
      </c>
      <c r="B246" s="4" t="s">
        <v>168</v>
      </c>
      <c r="C246" s="4" t="s">
        <v>494</v>
      </c>
      <c r="D246" s="4" t="s">
        <v>133</v>
      </c>
      <c r="E246" s="4" t="s">
        <v>466</v>
      </c>
      <c r="F246" s="4" t="s">
        <v>481</v>
      </c>
      <c r="K246" s="4">
        <v>-12.03</v>
      </c>
      <c r="L246" s="4">
        <v>2</v>
      </c>
      <c r="M246" s="4">
        <v>19137</v>
      </c>
      <c r="N246" s="4">
        <v>3152</v>
      </c>
      <c r="O246" s="4">
        <v>59.73</v>
      </c>
      <c r="Q246" s="4">
        <v>25.2</v>
      </c>
      <c r="R246" s="10"/>
      <c r="V246" s="4">
        <v>15.03</v>
      </c>
      <c r="W246" s="10"/>
      <c r="Y246" s="4">
        <f>O246+Q246+V246+W246</f>
        <v>99.96</v>
      </c>
      <c r="Z246" s="16" t="s">
        <v>284</v>
      </c>
    </row>
    <row r="247" spans="1:26" ht="12.75">
      <c r="A247">
        <v>243</v>
      </c>
      <c r="B247" s="4" t="s">
        <v>112</v>
      </c>
      <c r="C247" s="4" t="s">
        <v>494</v>
      </c>
      <c r="D247" s="4" t="s">
        <v>133</v>
      </c>
      <c r="E247" s="4" t="s">
        <v>466</v>
      </c>
      <c r="F247" s="4">
        <v>0.0001</v>
      </c>
      <c r="K247" s="4">
        <v>-20.08</v>
      </c>
      <c r="L247" s="4">
        <v>5.7</v>
      </c>
      <c r="M247" s="4">
        <v>14592</v>
      </c>
      <c r="N247" s="4">
        <v>8935.2</v>
      </c>
      <c r="O247" s="4">
        <v>70.0146427638523</v>
      </c>
      <c r="Q247" s="4">
        <v>18.019441654783</v>
      </c>
      <c r="R247" s="10"/>
      <c r="V247" s="4">
        <v>11.673573880338427</v>
      </c>
      <c r="W247" s="10"/>
      <c r="Y247" s="4">
        <v>99.7076582989737</v>
      </c>
      <c r="Z247" s="16" t="s">
        <v>285</v>
      </c>
    </row>
    <row r="248" ht="12.75">
      <c r="A248">
        <v>244</v>
      </c>
    </row>
    <row r="249" spans="1:27" ht="12.75">
      <c r="A249">
        <v>245</v>
      </c>
      <c r="B249" s="4" t="s">
        <v>158</v>
      </c>
      <c r="C249" s="4" t="s">
        <v>436</v>
      </c>
      <c r="D249" s="4" t="s">
        <v>130</v>
      </c>
      <c r="E249" s="4" t="s">
        <v>440</v>
      </c>
      <c r="F249" s="4">
        <v>1</v>
      </c>
      <c r="K249" s="4">
        <v>-7.19</v>
      </c>
      <c r="L249" s="4">
        <f>2*1.4636</f>
        <v>2.9272</v>
      </c>
      <c r="M249" s="4">
        <v>27045</v>
      </c>
      <c r="N249" s="4">
        <f>2*2383.4</f>
        <v>4766.8</v>
      </c>
      <c r="O249" s="4">
        <f>0.5*(48.42+48.29)</f>
        <v>48.355000000000004</v>
      </c>
      <c r="P249" s="4">
        <f>0.5*(1.52+1.63)</f>
        <v>1.575</v>
      </c>
      <c r="Q249" s="4">
        <f>0.5*(16.98+16.93)</f>
        <v>16.955</v>
      </c>
      <c r="R249" s="10">
        <f>0.5*(9.19+10.57)</f>
        <v>9.879999999999999</v>
      </c>
      <c r="S249" s="4">
        <f>0.5*(0.16+0.18)</f>
        <v>0.16999999999999998</v>
      </c>
      <c r="T249" s="4">
        <f>0.5*(5.91+6.32)</f>
        <v>6.115</v>
      </c>
      <c r="U249" s="4">
        <f>0.5*(10.51+10.83)</f>
        <v>10.67</v>
      </c>
      <c r="V249" s="4">
        <f>0.5*(4.35+3.62)</f>
        <v>3.985</v>
      </c>
      <c r="W249" s="10">
        <f>0.5*(1.84+1.78)</f>
        <v>1.81</v>
      </c>
      <c r="X249" s="4">
        <f>0.5*(0.53+0.55)</f>
        <v>0.54</v>
      </c>
      <c r="Y249" s="4">
        <f>0.5*(99.99+100.81)</f>
        <v>100.4</v>
      </c>
      <c r="Z249" s="4" t="s">
        <v>355</v>
      </c>
      <c r="AA249" s="2"/>
    </row>
    <row r="250" spans="1:27" ht="12.75">
      <c r="A250">
        <v>246</v>
      </c>
      <c r="B250" s="4" t="s">
        <v>158</v>
      </c>
      <c r="C250" s="4" t="s">
        <v>436</v>
      </c>
      <c r="D250" s="4" t="s">
        <v>130</v>
      </c>
      <c r="E250" s="4" t="s">
        <v>703</v>
      </c>
      <c r="F250" s="4">
        <v>1</v>
      </c>
      <c r="I250" s="10">
        <v>3</v>
      </c>
      <c r="K250" s="4">
        <v>-3.68</v>
      </c>
      <c r="L250" s="4">
        <f>2*0.7789</f>
        <v>1.5578</v>
      </c>
      <c r="M250" s="4">
        <v>31326</v>
      </c>
      <c r="N250" s="4">
        <f>2*1242</f>
        <v>2484</v>
      </c>
      <c r="O250" s="4">
        <f>0.5*(48.42+48.29)</f>
        <v>48.355000000000004</v>
      </c>
      <c r="P250" s="4">
        <f>0.5*(1.52+1.63)</f>
        <v>1.575</v>
      </c>
      <c r="Q250" s="4">
        <f>0.5*(16.98+16.93)</f>
        <v>16.955</v>
      </c>
      <c r="R250" s="10">
        <f>0.5*(9.19+10.57)</f>
        <v>9.879999999999999</v>
      </c>
      <c r="S250" s="4">
        <f>0.5*(0.16+0.18)</f>
        <v>0.16999999999999998</v>
      </c>
      <c r="T250" s="4">
        <f>0.5*(5.91+6.32)</f>
        <v>6.115</v>
      </c>
      <c r="U250" s="4">
        <f>0.5*(10.51+10.83)</f>
        <v>10.67</v>
      </c>
      <c r="V250" s="4">
        <f>0.5*(4.35+3.62)</f>
        <v>3.985</v>
      </c>
      <c r="W250" s="10">
        <f>0.5*(1.84+1.78)</f>
        <v>1.81</v>
      </c>
      <c r="X250" s="4">
        <f>0.5*(0.53+0.55)</f>
        <v>0.54</v>
      </c>
      <c r="Y250" s="4">
        <f>0.5*(99.99+100.81)</f>
        <v>100.4</v>
      </c>
      <c r="Z250" s="4" t="s">
        <v>355</v>
      </c>
      <c r="AA250" s="2"/>
    </row>
    <row r="251" spans="1:26" ht="12.75">
      <c r="A251">
        <v>247</v>
      </c>
      <c r="B251" s="4" t="s">
        <v>165</v>
      </c>
      <c r="C251" s="4" t="s">
        <v>436</v>
      </c>
      <c r="D251" s="4" t="s">
        <v>130</v>
      </c>
      <c r="E251" s="4" t="s">
        <v>440</v>
      </c>
      <c r="F251" s="4">
        <v>1</v>
      </c>
      <c r="K251" s="4">
        <v>-17.78</v>
      </c>
      <c r="L251" s="4">
        <f>2*1.4746</f>
        <v>2.9492</v>
      </c>
      <c r="M251" s="4">
        <v>12432</v>
      </c>
      <c r="N251" s="4">
        <f>2*2349</f>
        <v>4698</v>
      </c>
      <c r="O251" s="4">
        <f>0.5*(56.16+55.55)</f>
        <v>55.855</v>
      </c>
      <c r="P251" s="4">
        <f>0.5*(0.21+0.25)</f>
        <v>0.22999999999999998</v>
      </c>
      <c r="Q251" s="4">
        <f>0.5*(22.42+22.42)</f>
        <v>22.42</v>
      </c>
      <c r="R251" s="10">
        <f>0.5*(2.13+2.35)</f>
        <v>2.24</v>
      </c>
      <c r="S251" s="4">
        <f>0.5*(0.12+0.13)</f>
        <v>0.125</v>
      </c>
      <c r="T251" s="4">
        <f>0.5*(0.21+0.2)</f>
        <v>0.20500000000000002</v>
      </c>
      <c r="U251" s="4">
        <f>0.5*(2.76+2.56)</f>
        <v>2.66</v>
      </c>
      <c r="V251" s="4">
        <f>0.5*(6.08+6.66)</f>
        <v>6.37</v>
      </c>
      <c r="W251" s="10">
        <f>0.5*(9.92+9.89)</f>
        <v>9.905000000000001</v>
      </c>
      <c r="Y251" s="4">
        <v>100</v>
      </c>
      <c r="Z251" s="4" t="s">
        <v>261</v>
      </c>
    </row>
    <row r="252" spans="1:27" ht="12.75">
      <c r="A252">
        <v>248</v>
      </c>
      <c r="B252" s="4" t="s">
        <v>671</v>
      </c>
      <c r="K252" s="8" t="s">
        <v>30</v>
      </c>
      <c r="R252" s="10"/>
      <c r="W252" s="10"/>
      <c r="Z252" s="6" t="s">
        <v>151</v>
      </c>
      <c r="AA252" s="2"/>
    </row>
    <row r="253" spans="1:26" ht="12.75">
      <c r="A253">
        <v>249</v>
      </c>
      <c r="B253" s="4" t="s">
        <v>166</v>
      </c>
      <c r="C253" s="4" t="s">
        <v>436</v>
      </c>
      <c r="D253" s="4" t="s">
        <v>130</v>
      </c>
      <c r="E253" s="4" t="s">
        <v>440</v>
      </c>
      <c r="F253" s="4">
        <v>1</v>
      </c>
      <c r="K253" s="4">
        <v>-14.78</v>
      </c>
      <c r="L253" s="4">
        <f>2*1.988</f>
        <v>3.976</v>
      </c>
      <c r="M253" s="4">
        <v>17781</v>
      </c>
      <c r="N253" s="4">
        <f>2*3163.8</f>
        <v>6327.6</v>
      </c>
      <c r="O253" s="4">
        <f>0.5*(59.62+56.68)</f>
        <v>58.15</v>
      </c>
      <c r="P253" s="4">
        <f>0.5*(0.15+0.17)</f>
        <v>0.16</v>
      </c>
      <c r="Q253" s="4">
        <f>0.5*(22.64+22.59)</f>
        <v>22.615000000000002</v>
      </c>
      <c r="R253" s="10">
        <f>0.5*(1.44+1.98)</f>
        <v>1.71</v>
      </c>
      <c r="S253" s="4">
        <f>0.5*(0.35+0.51)</f>
        <v>0.43</v>
      </c>
      <c r="T253" s="4">
        <v>0.07</v>
      </c>
      <c r="U253" s="4">
        <f>0.5*(0.43+0.48)</f>
        <v>0.45499999999999996</v>
      </c>
      <c r="V253" s="4">
        <f>0.5*(11.37+12.66)</f>
        <v>12.015</v>
      </c>
      <c r="W253" s="10">
        <f>0.5*(3.95+4.86)</f>
        <v>4.405</v>
      </c>
      <c r="Y253" s="4">
        <v>100</v>
      </c>
      <c r="Z253" s="4" t="s">
        <v>261</v>
      </c>
    </row>
    <row r="254" spans="1:26" ht="12.75">
      <c r="A254">
        <v>250</v>
      </c>
      <c r="B254" s="4" t="s">
        <v>566</v>
      </c>
      <c r="K254" s="8" t="s">
        <v>31</v>
      </c>
      <c r="R254" s="10"/>
      <c r="W254" s="10"/>
      <c r="Z254" s="6" t="s">
        <v>151</v>
      </c>
    </row>
    <row r="255" spans="1:27" ht="12.75">
      <c r="A255">
        <v>251</v>
      </c>
      <c r="B255" s="4" t="s">
        <v>127</v>
      </c>
      <c r="C255" s="4" t="s">
        <v>436</v>
      </c>
      <c r="D255" s="4" t="s">
        <v>69</v>
      </c>
      <c r="E255" s="4" t="s">
        <v>663</v>
      </c>
      <c r="F255" s="4" t="s">
        <v>702</v>
      </c>
      <c r="K255" s="4">
        <v>-19.05</v>
      </c>
      <c r="L255" s="4">
        <f>2*0.3788</f>
        <v>0.7576</v>
      </c>
      <c r="M255" s="4">
        <v>11068</v>
      </c>
      <c r="N255" s="4">
        <f>2*466.95</f>
        <v>933.9</v>
      </c>
      <c r="O255" s="4">
        <v>77.86</v>
      </c>
      <c r="P255" s="4">
        <v>0.07</v>
      </c>
      <c r="Q255" s="4">
        <v>12.64</v>
      </c>
      <c r="R255" s="10">
        <v>0.8</v>
      </c>
      <c r="S255" s="4">
        <v>0.04</v>
      </c>
      <c r="T255" s="4">
        <v>0.06</v>
      </c>
      <c r="U255" s="4">
        <v>0.62</v>
      </c>
      <c r="V255" s="4">
        <v>3.88</v>
      </c>
      <c r="W255" s="10">
        <v>4.03</v>
      </c>
      <c r="Y255" s="4">
        <f>SUM(O255:W255)</f>
        <v>100</v>
      </c>
      <c r="Z255" s="16" t="s">
        <v>453</v>
      </c>
      <c r="AA255" s="2"/>
    </row>
    <row r="256" spans="1:26" ht="12.75">
      <c r="A256">
        <v>252</v>
      </c>
      <c r="R256" s="10"/>
      <c r="W256" s="10"/>
      <c r="Z256" s="4"/>
    </row>
    <row r="257" spans="1:27" ht="12.75">
      <c r="A257">
        <v>253</v>
      </c>
      <c r="B257" s="4" t="s">
        <v>158</v>
      </c>
      <c r="C257" s="4" t="s">
        <v>550</v>
      </c>
      <c r="D257" s="4" t="s">
        <v>130</v>
      </c>
      <c r="E257" s="4" t="s">
        <v>440</v>
      </c>
      <c r="F257" s="4">
        <v>1</v>
      </c>
      <c r="K257" s="4">
        <v>-10.66</v>
      </c>
      <c r="L257" s="4">
        <v>3.37</v>
      </c>
      <c r="M257" s="4">
        <v>22024</v>
      </c>
      <c r="N257" s="4">
        <v>5459</v>
      </c>
      <c r="O257" s="4">
        <f>0.5*(48.42+48.29)</f>
        <v>48.355000000000004</v>
      </c>
      <c r="P257" s="4">
        <f>0.5*(1.52+1.63)</f>
        <v>1.575</v>
      </c>
      <c r="Q257" s="4">
        <f>0.5*(16.98+16.93)</f>
        <v>16.955</v>
      </c>
      <c r="R257" s="10">
        <f>0.5*(9.19+10.57)</f>
        <v>9.879999999999999</v>
      </c>
      <c r="S257" s="4">
        <f>0.5*(0.16+0.18)</f>
        <v>0.16999999999999998</v>
      </c>
      <c r="T257" s="4">
        <f>0.5*(5.91+6.32)</f>
        <v>6.115</v>
      </c>
      <c r="U257" s="4">
        <f>0.5*(10.51+10.83)</f>
        <v>10.67</v>
      </c>
      <c r="V257" s="4">
        <f>0.5*(4.35+3.62)</f>
        <v>3.985</v>
      </c>
      <c r="W257" s="10">
        <f>0.5*(1.84+1.78)</f>
        <v>1.81</v>
      </c>
      <c r="X257" s="4">
        <f>0.5*(0.53+0.55)</f>
        <v>0.54</v>
      </c>
      <c r="Y257" s="4">
        <f>0.5*(99.99+100.81)</f>
        <v>100.4</v>
      </c>
      <c r="Z257" s="4" t="s">
        <v>355</v>
      </c>
      <c r="AA257" s="2"/>
    </row>
    <row r="258" spans="1:26" ht="12.75">
      <c r="A258">
        <v>254</v>
      </c>
      <c r="R258" s="10"/>
      <c r="W258" s="10"/>
      <c r="Z258" s="4"/>
    </row>
    <row r="259" spans="1:26" ht="12.75">
      <c r="A259">
        <v>255</v>
      </c>
      <c r="B259" s="4" t="s">
        <v>153</v>
      </c>
      <c r="C259" s="4" t="s">
        <v>704</v>
      </c>
      <c r="D259" s="4" t="s">
        <v>83</v>
      </c>
      <c r="E259" s="4" t="s">
        <v>646</v>
      </c>
      <c r="F259" s="4">
        <v>0.0001</v>
      </c>
      <c r="K259" s="4">
        <v>-10.3</v>
      </c>
      <c r="L259" s="4">
        <v>2.23</v>
      </c>
      <c r="M259" s="4">
        <v>23798</v>
      </c>
      <c r="N259" s="4">
        <v>3597</v>
      </c>
      <c r="O259" s="4">
        <v>45.89</v>
      </c>
      <c r="P259" s="4">
        <v>3.72</v>
      </c>
      <c r="Q259" s="4">
        <v>16.55</v>
      </c>
      <c r="R259" s="10">
        <v>11.759</v>
      </c>
      <c r="S259" s="4">
        <v>0.18</v>
      </c>
      <c r="T259" s="4">
        <v>6.3</v>
      </c>
      <c r="U259" s="4">
        <v>9.62</v>
      </c>
      <c r="V259" s="4">
        <v>3.72</v>
      </c>
      <c r="W259" s="10">
        <v>1.66</v>
      </c>
      <c r="X259" s="4">
        <v>0.52</v>
      </c>
      <c r="Y259" s="9">
        <v>99.919</v>
      </c>
      <c r="Z259" s="4" t="s">
        <v>510</v>
      </c>
    </row>
    <row r="260" spans="1:26" ht="12.75">
      <c r="A260">
        <v>256</v>
      </c>
      <c r="B260" s="4" t="s">
        <v>167</v>
      </c>
      <c r="C260" s="4" t="s">
        <v>704</v>
      </c>
      <c r="D260" s="4" t="s">
        <v>83</v>
      </c>
      <c r="E260" s="4" t="s">
        <v>646</v>
      </c>
      <c r="F260" s="4">
        <v>0.0001</v>
      </c>
      <c r="K260" s="4">
        <v>-12.88</v>
      </c>
      <c r="L260" s="4">
        <v>3.9</v>
      </c>
      <c r="M260" s="4">
        <v>22717</v>
      </c>
      <c r="N260" s="4">
        <v>6319</v>
      </c>
      <c r="O260" s="4">
        <v>57.76</v>
      </c>
      <c r="P260" s="4">
        <v>0.85</v>
      </c>
      <c r="Q260" s="4">
        <v>19.14</v>
      </c>
      <c r="R260" s="10">
        <v>6.281</v>
      </c>
      <c r="S260" s="4">
        <v>0.11</v>
      </c>
      <c r="T260" s="4">
        <v>3.45</v>
      </c>
      <c r="U260" s="4">
        <v>6.27</v>
      </c>
      <c r="V260" s="4">
        <v>4.31</v>
      </c>
      <c r="W260" s="10">
        <v>1.79</v>
      </c>
      <c r="X260" s="4">
        <v>0.2</v>
      </c>
      <c r="Y260" s="9">
        <v>100.161</v>
      </c>
      <c r="Z260" s="4" t="s">
        <v>510</v>
      </c>
    </row>
    <row r="261" spans="1:26" ht="12.75">
      <c r="A261">
        <v>257</v>
      </c>
      <c r="R261" s="10"/>
      <c r="W261" s="10"/>
      <c r="Z261" s="4"/>
    </row>
    <row r="262" spans="1:26" ht="12.75">
      <c r="A262">
        <v>258</v>
      </c>
      <c r="B262" s="4" t="s">
        <v>173</v>
      </c>
      <c r="C262" s="4" t="s">
        <v>444</v>
      </c>
      <c r="D262" s="4" t="s">
        <v>130</v>
      </c>
      <c r="E262" s="4" t="s">
        <v>384</v>
      </c>
      <c r="F262" s="4">
        <v>0.5</v>
      </c>
      <c r="K262" s="4">
        <v>-5.09</v>
      </c>
      <c r="L262" s="4">
        <f>2*3.7347</f>
        <v>7.4694</v>
      </c>
      <c r="M262" s="4">
        <v>35260</v>
      </c>
      <c r="N262" s="4">
        <f>2*5494</f>
        <v>10988</v>
      </c>
      <c r="O262" s="4">
        <v>59.8</v>
      </c>
      <c r="P262" s="4">
        <v>0.78</v>
      </c>
      <c r="Q262" s="4">
        <v>19.52</v>
      </c>
      <c r="R262" s="10">
        <v>2.95</v>
      </c>
      <c r="T262" s="4">
        <v>0.66</v>
      </c>
      <c r="U262" s="4">
        <v>3.86</v>
      </c>
      <c r="V262" s="4">
        <v>5.5</v>
      </c>
      <c r="W262" s="10">
        <v>7.31</v>
      </c>
      <c r="Y262" s="4">
        <v>100.38</v>
      </c>
      <c r="Z262" s="4" t="s">
        <v>391</v>
      </c>
    </row>
    <row r="263" spans="1:26" ht="12.75">
      <c r="A263">
        <v>259</v>
      </c>
      <c r="B263" s="4" t="s">
        <v>174</v>
      </c>
      <c r="C263" s="4" t="s">
        <v>444</v>
      </c>
      <c r="D263" s="4" t="s">
        <v>130</v>
      </c>
      <c r="E263" s="4" t="s">
        <v>492</v>
      </c>
      <c r="F263" s="4">
        <v>0.5</v>
      </c>
      <c r="I263" s="10">
        <v>1.7</v>
      </c>
      <c r="K263" s="4">
        <v>-5.98</v>
      </c>
      <c r="L263" s="4">
        <v>2.82</v>
      </c>
      <c r="M263" s="4">
        <v>30330</v>
      </c>
      <c r="N263" s="4">
        <v>4038</v>
      </c>
      <c r="O263" s="4">
        <v>59.8</v>
      </c>
      <c r="P263" s="4">
        <v>0.78</v>
      </c>
      <c r="Q263" s="4">
        <v>19.52</v>
      </c>
      <c r="R263" s="10">
        <v>2.95</v>
      </c>
      <c r="T263" s="4">
        <v>0.66</v>
      </c>
      <c r="U263" s="4">
        <v>3.86</v>
      </c>
      <c r="V263" s="4">
        <v>5.5</v>
      </c>
      <c r="W263" s="10">
        <v>7.31</v>
      </c>
      <c r="Y263" s="4">
        <v>100.38</v>
      </c>
      <c r="Z263" s="4" t="s">
        <v>391</v>
      </c>
    </row>
    <row r="264" spans="1:26" ht="12.75">
      <c r="A264">
        <v>260</v>
      </c>
      <c r="B264" s="4" t="s">
        <v>176</v>
      </c>
      <c r="C264" s="4" t="s">
        <v>444</v>
      </c>
      <c r="D264" s="4" t="s">
        <v>130</v>
      </c>
      <c r="E264" s="4" t="s">
        <v>522</v>
      </c>
      <c r="F264" s="4">
        <v>0.5</v>
      </c>
      <c r="I264" s="10" t="s">
        <v>387</v>
      </c>
      <c r="K264" s="4">
        <v>-11.3</v>
      </c>
      <c r="L264" s="4">
        <v>0.4</v>
      </c>
      <c r="M264" s="4">
        <v>20996</v>
      </c>
      <c r="N264" s="4">
        <v>601</v>
      </c>
      <c r="O264" s="4">
        <v>62.09</v>
      </c>
      <c r="Q264" s="4">
        <v>19.47</v>
      </c>
      <c r="R264" s="10"/>
      <c r="T264" s="4">
        <v>2.53</v>
      </c>
      <c r="U264" s="4">
        <v>10.64</v>
      </c>
      <c r="V264" s="4">
        <v>4.25</v>
      </c>
      <c r="W264" s="10">
        <v>1.02</v>
      </c>
      <c r="Y264" s="4">
        <v>100</v>
      </c>
      <c r="Z264" s="14" t="s">
        <v>356</v>
      </c>
    </row>
    <row r="265" spans="1:26" ht="12.75">
      <c r="A265">
        <v>261</v>
      </c>
      <c r="B265" s="4" t="s">
        <v>99</v>
      </c>
      <c r="C265" s="4" t="s">
        <v>444</v>
      </c>
      <c r="D265" s="4" t="s">
        <v>130</v>
      </c>
      <c r="E265" s="4" t="s">
        <v>389</v>
      </c>
      <c r="F265" s="4">
        <v>0.5</v>
      </c>
      <c r="K265" s="4">
        <v>-16.66</v>
      </c>
      <c r="L265" s="4">
        <v>3.09</v>
      </c>
      <c r="M265" s="4">
        <v>20688</v>
      </c>
      <c r="N265" s="4">
        <v>4458</v>
      </c>
      <c r="O265" s="4">
        <v>62.37</v>
      </c>
      <c r="P265" s="4">
        <v>0.48</v>
      </c>
      <c r="Q265" s="4">
        <v>18.61</v>
      </c>
      <c r="R265" s="10">
        <v>3.68</v>
      </c>
      <c r="T265" s="4">
        <v>0.24</v>
      </c>
      <c r="U265" s="4">
        <v>1.73</v>
      </c>
      <c r="V265" s="4">
        <v>5.43</v>
      </c>
      <c r="W265" s="10">
        <v>7.25</v>
      </c>
      <c r="Y265" s="4">
        <v>99.79</v>
      </c>
      <c r="Z265" s="4" t="s">
        <v>391</v>
      </c>
    </row>
    <row r="266" spans="1:26" ht="12.75">
      <c r="A266">
        <v>262</v>
      </c>
      <c r="B266" s="4" t="s">
        <v>98</v>
      </c>
      <c r="C266" s="4" t="s">
        <v>444</v>
      </c>
      <c r="D266" s="4" t="s">
        <v>130</v>
      </c>
      <c r="E266" s="4" t="s">
        <v>389</v>
      </c>
      <c r="F266" s="4">
        <v>0.5</v>
      </c>
      <c r="I266" s="10" t="s">
        <v>267</v>
      </c>
      <c r="K266" s="4">
        <v>-15.76</v>
      </c>
      <c r="L266" s="4">
        <v>1.44</v>
      </c>
      <c r="M266" s="4">
        <v>17544</v>
      </c>
      <c r="N266" s="4">
        <v>2043</v>
      </c>
      <c r="O266" s="4">
        <v>62.37</v>
      </c>
      <c r="P266" s="4">
        <v>0.48</v>
      </c>
      <c r="Q266" s="4">
        <v>18.61</v>
      </c>
      <c r="R266" s="10">
        <v>3.68</v>
      </c>
      <c r="T266" s="4">
        <v>0.24</v>
      </c>
      <c r="U266" s="4">
        <v>1.73</v>
      </c>
      <c r="V266" s="4">
        <v>5.43</v>
      </c>
      <c r="W266" s="10">
        <v>7.25</v>
      </c>
      <c r="Y266" s="4">
        <v>99.79</v>
      </c>
      <c r="Z266" s="4" t="s">
        <v>391</v>
      </c>
    </row>
    <row r="267" spans="1:26" ht="12.75">
      <c r="A267">
        <v>263</v>
      </c>
      <c r="B267" s="4" t="s">
        <v>104</v>
      </c>
      <c r="C267" s="4" t="s">
        <v>444</v>
      </c>
      <c r="D267" s="4" t="s">
        <v>130</v>
      </c>
      <c r="E267" s="4" t="s">
        <v>241</v>
      </c>
      <c r="F267" s="4">
        <v>0.0001</v>
      </c>
      <c r="K267" s="4">
        <v>-14.36</v>
      </c>
      <c r="L267" s="4">
        <f>2*1.3123</f>
        <v>2.6246</v>
      </c>
      <c r="M267" s="4">
        <v>20650</v>
      </c>
      <c r="N267" s="4">
        <f>2*1619</f>
        <v>3238</v>
      </c>
      <c r="O267" s="4">
        <f>0.5*(66.6+65.7)</f>
        <v>66.15</v>
      </c>
      <c r="Q267" s="4">
        <f>0.5*(9.28+9.96)</f>
        <v>9.620000000000001</v>
      </c>
      <c r="R267" s="10"/>
      <c r="V267" s="4">
        <f>0.5*(20.47+20.71)</f>
        <v>20.59</v>
      </c>
      <c r="W267" s="10">
        <f>0.5*(3.65+3.63)</f>
        <v>3.6399999999999997</v>
      </c>
      <c r="Y267" s="4">
        <v>100</v>
      </c>
      <c r="Z267" s="4" t="s">
        <v>435</v>
      </c>
    </row>
    <row r="268" spans="1:26" ht="12.75">
      <c r="A268">
        <v>264</v>
      </c>
      <c r="B268" s="4" t="s">
        <v>116</v>
      </c>
      <c r="C268" s="4" t="s">
        <v>444</v>
      </c>
      <c r="D268" s="4" t="s">
        <v>130</v>
      </c>
      <c r="E268" s="4" t="s">
        <v>648</v>
      </c>
      <c r="F268" s="4" t="s">
        <v>649</v>
      </c>
      <c r="K268" s="4">
        <v>-10.62</v>
      </c>
      <c r="L268" s="4">
        <v>5.99</v>
      </c>
      <c r="M268" s="4">
        <v>27767</v>
      </c>
      <c r="N268" s="4">
        <v>7948</v>
      </c>
      <c r="O268" s="6">
        <v>71.56</v>
      </c>
      <c r="P268" s="6">
        <v>0.26</v>
      </c>
      <c r="Q268" s="6">
        <v>7.69</v>
      </c>
      <c r="R268" s="13">
        <v>8.06</v>
      </c>
      <c r="S268" s="6">
        <v>0.32</v>
      </c>
      <c r="T268" s="6">
        <v>0.01</v>
      </c>
      <c r="U268" s="6">
        <v>0.27</v>
      </c>
      <c r="V268" s="6">
        <v>7.11</v>
      </c>
      <c r="W268" s="13">
        <v>4.25</v>
      </c>
      <c r="X268" s="6">
        <v>0</v>
      </c>
      <c r="Y268" s="6">
        <f>SUM(O268:X268)</f>
        <v>99.53</v>
      </c>
      <c r="Z268" s="6" t="s">
        <v>419</v>
      </c>
    </row>
    <row r="269" spans="1:26" ht="12.75">
      <c r="A269">
        <v>265</v>
      </c>
      <c r="B269" s="4" t="s">
        <v>128</v>
      </c>
      <c r="C269" s="4" t="s">
        <v>444</v>
      </c>
      <c r="D269" s="4" t="s">
        <v>130</v>
      </c>
      <c r="E269" s="4" t="s">
        <v>647</v>
      </c>
      <c r="F269" s="4">
        <v>0.0001</v>
      </c>
      <c r="K269" s="4">
        <v>-10.67</v>
      </c>
      <c r="L269" s="4">
        <f>2*1.2596</f>
        <v>2.5192</v>
      </c>
      <c r="M269" s="4">
        <v>35658</v>
      </c>
      <c r="N269" s="4">
        <f>2*2087.54</f>
        <v>4175.08</v>
      </c>
      <c r="O269" s="4">
        <f>0.5*(79.64+79.21)</f>
        <v>79.425</v>
      </c>
      <c r="Q269" s="4">
        <f>0.5*(11.33+11.95)</f>
        <v>11.64</v>
      </c>
      <c r="R269" s="10"/>
      <c r="V269" s="4">
        <f>0.5*(4.88+4.66)</f>
        <v>4.77</v>
      </c>
      <c r="W269" s="10">
        <f>0.5*(4.15+4.18)</f>
        <v>4.165</v>
      </c>
      <c r="Y269" s="4">
        <v>100</v>
      </c>
      <c r="Z269" s="4" t="s">
        <v>435</v>
      </c>
    </row>
    <row r="270" spans="1:26" ht="12.75">
      <c r="A270">
        <v>266</v>
      </c>
      <c r="B270" s="4" t="s">
        <v>129</v>
      </c>
      <c r="C270" s="4" t="s">
        <v>444</v>
      </c>
      <c r="D270" s="4" t="s">
        <v>130</v>
      </c>
      <c r="E270" s="4" t="s">
        <v>493</v>
      </c>
      <c r="F270" s="4">
        <v>1</v>
      </c>
      <c r="I270" s="10">
        <v>3.6</v>
      </c>
      <c r="K270" s="4">
        <v>-10.91</v>
      </c>
      <c r="L270" s="4" t="s">
        <v>256</v>
      </c>
      <c r="M270" s="4">
        <v>26010</v>
      </c>
      <c r="N270" s="4" t="s">
        <v>256</v>
      </c>
      <c r="O270" s="4">
        <f>0.5*(79.64+79.21)</f>
        <v>79.425</v>
      </c>
      <c r="Q270" s="4">
        <f>0.5*(11.33+11.95)</f>
        <v>11.64</v>
      </c>
      <c r="R270" s="10"/>
      <c r="V270" s="4">
        <f>0.5*(4.88+4.66)</f>
        <v>4.77</v>
      </c>
      <c r="W270" s="10">
        <f>0.5*(4.15+4.18)</f>
        <v>4.165</v>
      </c>
      <c r="Y270" s="4">
        <v>100</v>
      </c>
      <c r="Z270" s="4" t="s">
        <v>435</v>
      </c>
    </row>
    <row r="271" spans="1:26" ht="12.75">
      <c r="A271">
        <v>267</v>
      </c>
      <c r="B271" s="4" t="s">
        <v>23</v>
      </c>
      <c r="C271" s="4" t="s">
        <v>24</v>
      </c>
      <c r="D271" s="4" t="s">
        <v>25</v>
      </c>
      <c r="E271" s="4" t="s">
        <v>438</v>
      </c>
      <c r="F271" s="4">
        <v>0.5</v>
      </c>
      <c r="I271" s="10" t="s">
        <v>26</v>
      </c>
      <c r="K271" s="8" t="s">
        <v>29</v>
      </c>
      <c r="R271" s="10"/>
      <c r="W271" s="10"/>
      <c r="Z271" s="4" t="s">
        <v>51</v>
      </c>
    </row>
    <row r="272" spans="1:26" ht="12.75">
      <c r="A272">
        <v>268</v>
      </c>
      <c r="B272" s="4" t="s">
        <v>27</v>
      </c>
      <c r="C272" s="4" t="s">
        <v>24</v>
      </c>
      <c r="D272" s="4" t="s">
        <v>25</v>
      </c>
      <c r="E272" s="4" t="s">
        <v>438</v>
      </c>
      <c r="F272" s="4">
        <v>0.5</v>
      </c>
      <c r="I272" s="10" t="s">
        <v>28</v>
      </c>
      <c r="K272" s="8" t="s">
        <v>6</v>
      </c>
      <c r="R272" s="10"/>
      <c r="W272" s="10"/>
      <c r="Z272" s="4" t="s">
        <v>37</v>
      </c>
    </row>
    <row r="273" spans="1:26" ht="12.75">
      <c r="A273">
        <v>269</v>
      </c>
      <c r="R273" s="10"/>
      <c r="W273" s="10"/>
      <c r="Z273" s="4"/>
    </row>
    <row r="274" spans="1:26" ht="12.75">
      <c r="A274">
        <v>270</v>
      </c>
      <c r="B274" s="4" t="s">
        <v>173</v>
      </c>
      <c r="C274" s="4" t="s">
        <v>518</v>
      </c>
      <c r="D274" s="4" t="s">
        <v>130</v>
      </c>
      <c r="E274" s="4" t="s">
        <v>384</v>
      </c>
      <c r="F274" s="4">
        <v>0.5</v>
      </c>
      <c r="K274" s="4">
        <v>-6.2</v>
      </c>
      <c r="L274" s="4">
        <f>2*2.3148</f>
        <v>4.6296</v>
      </c>
      <c r="M274" s="4">
        <v>32843</v>
      </c>
      <c r="N274" s="4">
        <f>2*3364</f>
        <v>6728</v>
      </c>
      <c r="O274" s="4">
        <v>59.8</v>
      </c>
      <c r="P274" s="4">
        <v>0.78</v>
      </c>
      <c r="Q274" s="4">
        <v>19.52</v>
      </c>
      <c r="R274" s="10">
        <v>2.95</v>
      </c>
      <c r="T274" s="4">
        <v>0.66</v>
      </c>
      <c r="U274" s="4">
        <v>3.86</v>
      </c>
      <c r="V274" s="4">
        <v>5.5</v>
      </c>
      <c r="W274" s="10">
        <v>7.31</v>
      </c>
      <c r="Y274" s="4">
        <v>100.38</v>
      </c>
      <c r="Z274" s="4" t="s">
        <v>391</v>
      </c>
    </row>
    <row r="275" spans="1:26" ht="12.75">
      <c r="A275">
        <v>271</v>
      </c>
      <c r="B275" s="4" t="s">
        <v>174</v>
      </c>
      <c r="C275" s="4" t="s">
        <v>518</v>
      </c>
      <c r="D275" s="4" t="s">
        <v>130</v>
      </c>
      <c r="E275" s="4" t="s">
        <v>492</v>
      </c>
      <c r="F275" s="4">
        <v>0.5</v>
      </c>
      <c r="I275" s="10" t="s">
        <v>588</v>
      </c>
      <c r="K275" s="4">
        <v>-5.59</v>
      </c>
      <c r="L275" s="4">
        <f>2*2.186</f>
        <v>4.372</v>
      </c>
      <c r="M275" s="4">
        <v>30489</v>
      </c>
      <c r="N275" s="4">
        <f>2*3128</f>
        <v>6256</v>
      </c>
      <c r="O275" s="4">
        <v>59.8</v>
      </c>
      <c r="P275" s="4">
        <v>0.78</v>
      </c>
      <c r="Q275" s="4">
        <v>19.52</v>
      </c>
      <c r="R275" s="10">
        <v>2.95</v>
      </c>
      <c r="T275" s="4">
        <v>0.66</v>
      </c>
      <c r="U275" s="4">
        <v>3.86</v>
      </c>
      <c r="V275" s="4">
        <v>5.5</v>
      </c>
      <c r="W275" s="10">
        <v>7.31</v>
      </c>
      <c r="Y275" s="4">
        <v>100.38</v>
      </c>
      <c r="Z275" s="4" t="s">
        <v>391</v>
      </c>
    </row>
    <row r="276" spans="1:26" ht="12.75">
      <c r="A276">
        <v>272</v>
      </c>
      <c r="B276" s="4" t="s">
        <v>176</v>
      </c>
      <c r="C276" s="4" t="s">
        <v>518</v>
      </c>
      <c r="D276" s="4" t="s">
        <v>130</v>
      </c>
      <c r="E276" s="4" t="s">
        <v>522</v>
      </c>
      <c r="F276" s="4">
        <v>0.5</v>
      </c>
      <c r="I276" s="10" t="s">
        <v>387</v>
      </c>
      <c r="K276" s="4">
        <v>-11.37</v>
      </c>
      <c r="L276" s="4">
        <f>2*0.32475</f>
        <v>0.6495</v>
      </c>
      <c r="M276" s="4">
        <v>20522</v>
      </c>
      <c r="N276" s="4">
        <f>2*491.36</f>
        <v>982.72</v>
      </c>
      <c r="O276" s="4">
        <v>62.09</v>
      </c>
      <c r="Q276" s="4">
        <v>19.47</v>
      </c>
      <c r="R276" s="10"/>
      <c r="T276" s="4">
        <v>2.53</v>
      </c>
      <c r="U276" s="4">
        <v>10.64</v>
      </c>
      <c r="V276" s="4">
        <v>4.25</v>
      </c>
      <c r="W276" s="10">
        <v>1.02</v>
      </c>
      <c r="Y276" s="4">
        <v>100</v>
      </c>
      <c r="Z276" s="14" t="s">
        <v>356</v>
      </c>
    </row>
    <row r="277" spans="1:26" ht="12.75">
      <c r="A277">
        <v>273</v>
      </c>
      <c r="B277" s="4" t="s">
        <v>99</v>
      </c>
      <c r="C277" s="4" t="s">
        <v>518</v>
      </c>
      <c r="D277" s="4" t="s">
        <v>130</v>
      </c>
      <c r="E277" s="4" t="s">
        <v>389</v>
      </c>
      <c r="F277" s="4">
        <v>0.5</v>
      </c>
      <c r="K277" s="4">
        <v>-15.07</v>
      </c>
      <c r="L277" s="4">
        <f>2*1.069</f>
        <v>2.138</v>
      </c>
      <c r="M277" s="4">
        <v>22570</v>
      </c>
      <c r="N277" s="4">
        <f>2*1542.26</f>
        <v>3084.52</v>
      </c>
      <c r="O277" s="4">
        <v>62.37</v>
      </c>
      <c r="P277" s="4">
        <v>0.48</v>
      </c>
      <c r="Q277" s="4">
        <v>18.61</v>
      </c>
      <c r="R277" s="10">
        <v>3.68</v>
      </c>
      <c r="T277" s="4">
        <v>0.24</v>
      </c>
      <c r="U277" s="4">
        <v>1.73</v>
      </c>
      <c r="V277" s="4">
        <v>5.43</v>
      </c>
      <c r="W277" s="10">
        <v>7.25</v>
      </c>
      <c r="Y277" s="4">
        <v>99.79</v>
      </c>
      <c r="Z277" s="4" t="s">
        <v>391</v>
      </c>
    </row>
    <row r="278" spans="1:26" ht="12.75">
      <c r="A278">
        <v>274</v>
      </c>
      <c r="B278" s="4" t="s">
        <v>98</v>
      </c>
      <c r="C278" s="4" t="s">
        <v>518</v>
      </c>
      <c r="D278" s="4" t="s">
        <v>130</v>
      </c>
      <c r="E278" s="4" t="s">
        <v>389</v>
      </c>
      <c r="F278" s="4">
        <v>0.5</v>
      </c>
      <c r="I278" s="10" t="s">
        <v>267</v>
      </c>
      <c r="K278" s="4">
        <v>-15.32</v>
      </c>
      <c r="L278" s="4">
        <f>2*0.928</f>
        <v>1.856</v>
      </c>
      <c r="M278" s="4">
        <v>17689</v>
      </c>
      <c r="N278" s="4">
        <f>2*1315</f>
        <v>2630</v>
      </c>
      <c r="O278" s="4">
        <v>62.37</v>
      </c>
      <c r="P278" s="4">
        <v>0.48</v>
      </c>
      <c r="Q278" s="4">
        <v>18.61</v>
      </c>
      <c r="R278" s="10">
        <v>3.68</v>
      </c>
      <c r="T278" s="4">
        <v>0.24</v>
      </c>
      <c r="U278" s="4">
        <v>1.73</v>
      </c>
      <c r="V278" s="4">
        <v>5.43</v>
      </c>
      <c r="W278" s="10">
        <v>7.25</v>
      </c>
      <c r="Y278" s="4">
        <v>99.79</v>
      </c>
      <c r="Z278" s="4" t="s">
        <v>391</v>
      </c>
    </row>
    <row r="279" spans="1:26" ht="12.75">
      <c r="A279">
        <v>275</v>
      </c>
      <c r="B279" s="4" t="s">
        <v>124</v>
      </c>
      <c r="C279" s="4" t="s">
        <v>518</v>
      </c>
      <c r="D279" s="4" t="s">
        <v>581</v>
      </c>
      <c r="E279" s="4" t="s">
        <v>522</v>
      </c>
      <c r="F279" s="4">
        <v>0.8</v>
      </c>
      <c r="I279" s="10">
        <v>1</v>
      </c>
      <c r="K279" s="4">
        <v>6.98</v>
      </c>
      <c r="L279" s="4">
        <f>2*2.72</f>
        <v>5.44</v>
      </c>
      <c r="M279" s="4">
        <v>60304</v>
      </c>
      <c r="N279" s="4">
        <f>2*4113</f>
        <v>8226</v>
      </c>
      <c r="O279" s="4">
        <v>76.01</v>
      </c>
      <c r="P279" s="4">
        <v>0.11</v>
      </c>
      <c r="Q279" s="4">
        <v>13</v>
      </c>
      <c r="R279" s="10">
        <v>0.7</v>
      </c>
      <c r="T279" s="4">
        <v>0.09</v>
      </c>
      <c r="U279" s="4">
        <v>0.52</v>
      </c>
      <c r="V279" s="4">
        <v>3.65</v>
      </c>
      <c r="W279" s="10">
        <v>4.81</v>
      </c>
      <c r="Y279" s="4">
        <f>SUM(O279:X279)</f>
        <v>98.89000000000001</v>
      </c>
      <c r="Z279" s="6" t="s">
        <v>578</v>
      </c>
    </row>
    <row r="280" spans="1:26" ht="12.75">
      <c r="A280">
        <v>276</v>
      </c>
      <c r="B280" s="4" t="s">
        <v>124</v>
      </c>
      <c r="C280" s="4" t="s">
        <v>518</v>
      </c>
      <c r="D280" s="4" t="s">
        <v>581</v>
      </c>
      <c r="E280" s="4" t="s">
        <v>357</v>
      </c>
      <c r="F280" s="4">
        <v>0.8</v>
      </c>
      <c r="I280" s="10">
        <v>2</v>
      </c>
      <c r="K280" s="4">
        <v>-5.91</v>
      </c>
      <c r="L280" s="4">
        <f>2*4.2937</f>
        <v>8.5874</v>
      </c>
      <c r="M280" s="4">
        <v>39377</v>
      </c>
      <c r="N280" s="4">
        <f>2*6296</f>
        <v>12592</v>
      </c>
      <c r="O280" s="4">
        <v>76.01</v>
      </c>
      <c r="P280" s="4">
        <v>0.11</v>
      </c>
      <c r="Q280" s="4">
        <v>13</v>
      </c>
      <c r="R280" s="10">
        <v>0.7</v>
      </c>
      <c r="T280" s="4">
        <v>0.09</v>
      </c>
      <c r="U280" s="4">
        <v>0.52</v>
      </c>
      <c r="V280" s="4">
        <v>3.65</v>
      </c>
      <c r="W280" s="10">
        <v>4.81</v>
      </c>
      <c r="Y280" s="4">
        <f>SUM(O280:X280)</f>
        <v>98.89000000000001</v>
      </c>
      <c r="Z280" s="6" t="s">
        <v>578</v>
      </c>
    </row>
    <row r="281" spans="1:26" ht="12.75">
      <c r="A281">
        <v>277</v>
      </c>
      <c r="B281" s="4" t="s">
        <v>124</v>
      </c>
      <c r="C281" s="4" t="s">
        <v>518</v>
      </c>
      <c r="D281" s="4" t="s">
        <v>581</v>
      </c>
      <c r="E281" s="4" t="s">
        <v>288</v>
      </c>
      <c r="F281" s="4">
        <v>0.8</v>
      </c>
      <c r="I281" s="10">
        <v>4</v>
      </c>
      <c r="K281" s="4">
        <v>-10.44</v>
      </c>
      <c r="L281" s="4">
        <f>2*3.3735</f>
        <v>6.747</v>
      </c>
      <c r="M281" s="4">
        <v>30847</v>
      </c>
      <c r="N281" s="4">
        <f>2*4813</f>
        <v>9626</v>
      </c>
      <c r="O281" s="4">
        <v>76.01</v>
      </c>
      <c r="P281" s="4">
        <v>0.11</v>
      </c>
      <c r="Q281" s="4">
        <v>13</v>
      </c>
      <c r="R281" s="10">
        <v>0.7</v>
      </c>
      <c r="T281" s="4">
        <v>0.09</v>
      </c>
      <c r="U281" s="4">
        <v>0.52</v>
      </c>
      <c r="V281" s="4">
        <v>3.65</v>
      </c>
      <c r="W281" s="10">
        <v>4.81</v>
      </c>
      <c r="Y281" s="4">
        <f>SUM(O281:X281)</f>
        <v>98.89000000000001</v>
      </c>
      <c r="Z281" s="6" t="s">
        <v>578</v>
      </c>
    </row>
    <row r="282" spans="1:26" ht="12.75">
      <c r="A282">
        <v>278</v>
      </c>
      <c r="B282" s="4" t="s">
        <v>124</v>
      </c>
      <c r="C282" s="4" t="s">
        <v>518</v>
      </c>
      <c r="D282" s="4" t="s">
        <v>581</v>
      </c>
      <c r="E282" s="4" t="s">
        <v>524</v>
      </c>
      <c r="F282" s="4">
        <v>0.8</v>
      </c>
      <c r="I282" s="10">
        <v>6</v>
      </c>
      <c r="K282" s="4">
        <v>-13.05</v>
      </c>
      <c r="L282" s="4">
        <f>2*0.567</f>
        <v>1.134</v>
      </c>
      <c r="M282" s="4">
        <v>26853</v>
      </c>
      <c r="N282" s="4">
        <f>2*0.79997</f>
        <v>1.59994</v>
      </c>
      <c r="O282" s="4">
        <v>76.01</v>
      </c>
      <c r="P282" s="4">
        <v>0.11</v>
      </c>
      <c r="Q282" s="4">
        <v>13</v>
      </c>
      <c r="R282" s="10">
        <v>0.7</v>
      </c>
      <c r="T282" s="4">
        <v>0.09</v>
      </c>
      <c r="U282" s="4">
        <v>0.52</v>
      </c>
      <c r="V282" s="4">
        <v>3.65</v>
      </c>
      <c r="W282" s="10">
        <v>4.81</v>
      </c>
      <c r="Y282" s="4">
        <f>SUM(O282:X282)</f>
        <v>98.89000000000001</v>
      </c>
      <c r="Z282" s="6" t="s">
        <v>578</v>
      </c>
    </row>
    <row r="283" spans="1:26" ht="12.75">
      <c r="A283">
        <v>279</v>
      </c>
      <c r="B283" s="4" t="s">
        <v>23</v>
      </c>
      <c r="C283" s="4" t="s">
        <v>34</v>
      </c>
      <c r="D283" s="4" t="s">
        <v>25</v>
      </c>
      <c r="E283" s="4" t="s">
        <v>438</v>
      </c>
      <c r="F283" s="4">
        <v>0.5</v>
      </c>
      <c r="I283" s="10" t="s">
        <v>26</v>
      </c>
      <c r="K283" s="8" t="s">
        <v>35</v>
      </c>
      <c r="R283" s="10"/>
      <c r="W283" s="10"/>
      <c r="Z283" s="4" t="s">
        <v>51</v>
      </c>
    </row>
    <row r="284" spans="1:26" ht="12.75">
      <c r="A284">
        <v>280</v>
      </c>
      <c r="B284" s="4" t="s">
        <v>27</v>
      </c>
      <c r="C284" s="4" t="s">
        <v>34</v>
      </c>
      <c r="D284" s="4" t="s">
        <v>25</v>
      </c>
      <c r="E284" s="4" t="s">
        <v>438</v>
      </c>
      <c r="F284" s="4">
        <v>0.5</v>
      </c>
      <c r="I284" s="10" t="s">
        <v>28</v>
      </c>
      <c r="K284" s="8" t="s">
        <v>7</v>
      </c>
      <c r="R284" s="10"/>
      <c r="W284" s="10"/>
      <c r="Z284" s="4" t="s">
        <v>37</v>
      </c>
    </row>
    <row r="285" spans="1:26" ht="12.75">
      <c r="A285">
        <v>281</v>
      </c>
      <c r="R285" s="10"/>
      <c r="W285" s="10"/>
      <c r="Z285" s="4"/>
    </row>
    <row r="286" spans="1:26" ht="12.75">
      <c r="A286">
        <v>282</v>
      </c>
      <c r="B286" s="4" t="s">
        <v>168</v>
      </c>
      <c r="C286" s="4" t="s">
        <v>414</v>
      </c>
      <c r="D286" s="4" t="s">
        <v>130</v>
      </c>
      <c r="E286" s="4" t="s">
        <v>650</v>
      </c>
      <c r="F286" s="4">
        <v>1.5</v>
      </c>
      <c r="K286" s="4">
        <v>-4.71</v>
      </c>
      <c r="L286" s="4">
        <f>2*2.156</f>
        <v>4.312</v>
      </c>
      <c r="M286" s="4">
        <v>38101</v>
      </c>
      <c r="N286" s="4">
        <f>2*3563.6</f>
        <v>7127.2</v>
      </c>
      <c r="O286" s="10">
        <v>59.45</v>
      </c>
      <c r="P286" s="10"/>
      <c r="Q286" s="10">
        <v>25.22</v>
      </c>
      <c r="R286" s="10"/>
      <c r="S286" s="10"/>
      <c r="T286" s="10"/>
      <c r="U286" s="10"/>
      <c r="V286" s="10">
        <v>15.33</v>
      </c>
      <c r="W286" s="10"/>
      <c r="X286" s="10"/>
      <c r="Y286" s="10">
        <f>SUM(O286:X286)</f>
        <v>100</v>
      </c>
      <c r="Z286" s="4" t="s">
        <v>502</v>
      </c>
    </row>
    <row r="287" spans="1:26" ht="12.75">
      <c r="A287">
        <v>283</v>
      </c>
      <c r="B287" s="4" t="s">
        <v>168</v>
      </c>
      <c r="C287" s="4" t="s">
        <v>414</v>
      </c>
      <c r="D287" s="4" t="s">
        <v>130</v>
      </c>
      <c r="E287" s="4" t="s">
        <v>650</v>
      </c>
      <c r="F287" s="4" t="s">
        <v>198</v>
      </c>
      <c r="K287" s="11" t="s">
        <v>199</v>
      </c>
      <c r="O287" s="10">
        <v>59.45</v>
      </c>
      <c r="P287" s="10"/>
      <c r="Q287" s="10">
        <v>25.22</v>
      </c>
      <c r="R287" s="10"/>
      <c r="S287" s="10"/>
      <c r="T287" s="10"/>
      <c r="U287" s="10"/>
      <c r="V287" s="10">
        <v>15.33</v>
      </c>
      <c r="W287" s="10"/>
      <c r="X287" s="10"/>
      <c r="Y287" s="10">
        <f>SUM(O287:X287)</f>
        <v>100</v>
      </c>
      <c r="Z287" s="6" t="s">
        <v>720</v>
      </c>
    </row>
    <row r="288" spans="1:26" ht="12.75">
      <c r="A288">
        <v>284</v>
      </c>
      <c r="B288" s="4" t="s">
        <v>124</v>
      </c>
      <c r="C288" s="4" t="s">
        <v>414</v>
      </c>
      <c r="D288" s="4" t="s">
        <v>581</v>
      </c>
      <c r="E288" s="4" t="s">
        <v>288</v>
      </c>
      <c r="F288" s="4">
        <v>0.8</v>
      </c>
      <c r="I288" s="10">
        <v>1</v>
      </c>
      <c r="K288" s="8" t="s">
        <v>216</v>
      </c>
      <c r="O288" s="4">
        <v>76.01</v>
      </c>
      <c r="P288" s="4">
        <v>0.11</v>
      </c>
      <c r="Q288" s="4">
        <v>13</v>
      </c>
      <c r="R288" s="10">
        <v>0.7</v>
      </c>
      <c r="T288" s="4">
        <v>0.09</v>
      </c>
      <c r="U288" s="4">
        <v>0.52</v>
      </c>
      <c r="V288" s="4">
        <v>3.65</v>
      </c>
      <c r="W288" s="10">
        <v>4.81</v>
      </c>
      <c r="Y288" s="4">
        <f>SUM(O288:X288)</f>
        <v>98.89000000000001</v>
      </c>
      <c r="Z288" s="6" t="s">
        <v>578</v>
      </c>
    </row>
    <row r="289" spans="1:26" ht="12.75">
      <c r="A289">
        <v>285</v>
      </c>
      <c r="B289" s="4" t="s">
        <v>124</v>
      </c>
      <c r="C289" s="4" t="s">
        <v>414</v>
      </c>
      <c r="D289" s="4" t="s">
        <v>581</v>
      </c>
      <c r="E289" s="4" t="s">
        <v>357</v>
      </c>
      <c r="F289" s="4">
        <v>0.8</v>
      </c>
      <c r="I289" s="10">
        <v>2</v>
      </c>
      <c r="K289" s="8" t="s">
        <v>216</v>
      </c>
      <c r="O289" s="4">
        <v>76.01</v>
      </c>
      <c r="P289" s="4">
        <v>0.11</v>
      </c>
      <c r="Q289" s="4">
        <v>13</v>
      </c>
      <c r="R289" s="10">
        <v>0.7</v>
      </c>
      <c r="T289" s="4">
        <v>0.09</v>
      </c>
      <c r="U289" s="4">
        <v>0.52</v>
      </c>
      <c r="V289" s="4">
        <v>3.65</v>
      </c>
      <c r="W289" s="10">
        <v>4.81</v>
      </c>
      <c r="Y289" s="4">
        <f>SUM(O289:X289)</f>
        <v>98.89000000000001</v>
      </c>
      <c r="Z289" s="6" t="s">
        <v>578</v>
      </c>
    </row>
    <row r="290" spans="1:26" ht="12.75">
      <c r="A290">
        <v>286</v>
      </c>
      <c r="B290" s="4" t="s">
        <v>124</v>
      </c>
      <c r="C290" s="4" t="s">
        <v>414</v>
      </c>
      <c r="D290" s="4" t="s">
        <v>581</v>
      </c>
      <c r="E290" s="4" t="s">
        <v>288</v>
      </c>
      <c r="F290" s="4">
        <v>0.8</v>
      </c>
      <c r="I290" s="10">
        <v>4</v>
      </c>
      <c r="K290" s="8" t="s">
        <v>216</v>
      </c>
      <c r="O290" s="4">
        <v>76.01</v>
      </c>
      <c r="P290" s="4">
        <v>0.11</v>
      </c>
      <c r="Q290" s="4">
        <v>13</v>
      </c>
      <c r="R290" s="10">
        <v>0.7</v>
      </c>
      <c r="T290" s="4">
        <v>0.09</v>
      </c>
      <c r="U290" s="4">
        <v>0.52</v>
      </c>
      <c r="V290" s="4">
        <v>3.65</v>
      </c>
      <c r="W290" s="10">
        <v>4.81</v>
      </c>
      <c r="Y290" s="4">
        <f>SUM(O290:X290)</f>
        <v>98.89000000000001</v>
      </c>
      <c r="Z290" s="6" t="s">
        <v>578</v>
      </c>
    </row>
    <row r="291" spans="1:26" ht="12.75">
      <c r="A291">
        <v>287</v>
      </c>
      <c r="B291" s="4" t="s">
        <v>124</v>
      </c>
      <c r="C291" s="4" t="s">
        <v>414</v>
      </c>
      <c r="D291" s="4" t="s">
        <v>581</v>
      </c>
      <c r="E291" s="4" t="s">
        <v>524</v>
      </c>
      <c r="F291" s="4">
        <v>0.8</v>
      </c>
      <c r="I291" s="10">
        <v>6</v>
      </c>
      <c r="K291" s="8" t="s">
        <v>216</v>
      </c>
      <c r="O291" s="4">
        <v>76.01</v>
      </c>
      <c r="P291" s="4">
        <v>0.11</v>
      </c>
      <c r="Q291" s="4">
        <v>13</v>
      </c>
      <c r="R291" s="10">
        <v>0.7</v>
      </c>
      <c r="T291" s="4">
        <v>0.09</v>
      </c>
      <c r="U291" s="4">
        <v>0.52</v>
      </c>
      <c r="V291" s="4">
        <v>3.65</v>
      </c>
      <c r="W291" s="10">
        <v>4.81</v>
      </c>
      <c r="Y291" s="4">
        <f>SUM(O291:X291)</f>
        <v>98.89000000000001</v>
      </c>
      <c r="Z291" s="6" t="s">
        <v>578</v>
      </c>
    </row>
    <row r="292" spans="1:26" ht="12.75">
      <c r="A292">
        <v>288</v>
      </c>
      <c r="B292" s="4" t="s">
        <v>126</v>
      </c>
      <c r="C292" s="4" t="s">
        <v>414</v>
      </c>
      <c r="D292" s="4" t="s">
        <v>83</v>
      </c>
      <c r="E292" s="4" t="s">
        <v>194</v>
      </c>
      <c r="F292" s="4">
        <v>0.0001</v>
      </c>
      <c r="I292" s="10">
        <v>0.11</v>
      </c>
      <c r="K292" s="4">
        <v>28.27</v>
      </c>
      <c r="L292" s="4">
        <f>2*5.487</f>
        <v>10.974</v>
      </c>
      <c r="M292" s="4">
        <v>86212</v>
      </c>
      <c r="N292" s="4">
        <f>2*7296.3</f>
        <v>14592.6</v>
      </c>
      <c r="O292" s="10">
        <v>76.87</v>
      </c>
      <c r="P292" s="10">
        <v>0.07</v>
      </c>
      <c r="Q292" s="10">
        <v>12.2</v>
      </c>
      <c r="R292" s="10">
        <v>0.94</v>
      </c>
      <c r="S292" s="10">
        <v>0.05</v>
      </c>
      <c r="T292" s="10">
        <v>0.05</v>
      </c>
      <c r="U292" s="10">
        <v>0.3</v>
      </c>
      <c r="V292" s="10">
        <v>4.38</v>
      </c>
      <c r="W292" s="10">
        <v>4.4</v>
      </c>
      <c r="X292" s="10"/>
      <c r="Y292" s="10">
        <f>SUM(O292:X292)</f>
        <v>99.25999999999999</v>
      </c>
      <c r="Z292" s="6" t="s">
        <v>706</v>
      </c>
    </row>
    <row r="293" spans="1:26" ht="12.75">
      <c r="A293">
        <v>289</v>
      </c>
      <c r="B293" s="4" t="s">
        <v>197</v>
      </c>
      <c r="C293" s="4" t="s">
        <v>414</v>
      </c>
      <c r="E293" s="4" t="s">
        <v>195</v>
      </c>
      <c r="F293" s="4" t="s">
        <v>196</v>
      </c>
      <c r="K293" s="4">
        <v>5.78</v>
      </c>
      <c r="L293" s="4">
        <v>1.87</v>
      </c>
      <c r="M293" s="4">
        <v>58413</v>
      </c>
      <c r="N293" s="4">
        <v>2536</v>
      </c>
      <c r="Z293" s="6" t="s">
        <v>151</v>
      </c>
    </row>
    <row r="294" spans="1:26" ht="12.75">
      <c r="A294">
        <v>290</v>
      </c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6"/>
    </row>
    <row r="295" spans="1:26" ht="12.75">
      <c r="A295">
        <v>291</v>
      </c>
      <c r="B295" s="4" t="s">
        <v>168</v>
      </c>
      <c r="C295" s="4" t="s">
        <v>519</v>
      </c>
      <c r="D295" s="4" t="s">
        <v>130</v>
      </c>
      <c r="E295" s="4" t="s">
        <v>650</v>
      </c>
      <c r="F295" s="4">
        <v>1.5</v>
      </c>
      <c r="K295" s="4">
        <v>-5.02</v>
      </c>
      <c r="L295" s="4">
        <f>2*2.6</f>
        <v>5.2</v>
      </c>
      <c r="M295" s="4">
        <v>37604</v>
      </c>
      <c r="N295" s="4">
        <f>2*4298.736</f>
        <v>8597.472</v>
      </c>
      <c r="O295" s="10">
        <v>59.45</v>
      </c>
      <c r="P295" s="10"/>
      <c r="Q295" s="10">
        <v>25.22</v>
      </c>
      <c r="R295" s="10"/>
      <c r="S295" s="10"/>
      <c r="T295" s="10"/>
      <c r="U295" s="10"/>
      <c r="V295" s="10">
        <v>15.33</v>
      </c>
      <c r="W295" s="10"/>
      <c r="X295" s="10"/>
      <c r="Y295" s="10">
        <f>SUM(O295:X295)</f>
        <v>100</v>
      </c>
      <c r="Z295" s="4" t="s">
        <v>502</v>
      </c>
    </row>
    <row r="296" spans="1:26" ht="12.75">
      <c r="A296">
        <v>292</v>
      </c>
      <c r="B296" s="4" t="s">
        <v>670</v>
      </c>
      <c r="C296" s="4" t="s">
        <v>519</v>
      </c>
      <c r="D296" s="4" t="s">
        <v>130</v>
      </c>
      <c r="E296" s="4" t="s">
        <v>606</v>
      </c>
      <c r="F296" s="4" t="s">
        <v>611</v>
      </c>
      <c r="K296" s="11" t="s">
        <v>692</v>
      </c>
      <c r="R296" s="10"/>
      <c r="W296" s="10"/>
      <c r="Z296" s="6" t="s">
        <v>151</v>
      </c>
    </row>
    <row r="297" spans="1:26" ht="12.75">
      <c r="A297">
        <v>293</v>
      </c>
      <c r="R297" s="10"/>
      <c r="W297" s="10"/>
      <c r="Z297" s="4"/>
    </row>
    <row r="298" spans="1:26" ht="12.75">
      <c r="A298">
        <v>294</v>
      </c>
      <c r="B298" s="4" t="s">
        <v>154</v>
      </c>
      <c r="C298" s="4" t="s">
        <v>392</v>
      </c>
      <c r="D298" s="4" t="s">
        <v>66</v>
      </c>
      <c r="E298" s="4" t="s">
        <v>226</v>
      </c>
      <c r="F298" s="4">
        <v>0.0001</v>
      </c>
      <c r="G298" s="4" t="s">
        <v>393</v>
      </c>
      <c r="K298" s="4">
        <v>-10.14</v>
      </c>
      <c r="L298" s="4">
        <f>2*1.2649</f>
        <v>2.5298</v>
      </c>
      <c r="M298" s="4">
        <v>23937</v>
      </c>
      <c r="N298" s="4">
        <f>2*2155.6</f>
        <v>4311.2</v>
      </c>
      <c r="O298" s="4">
        <v>47.6</v>
      </c>
      <c r="Q298" s="4">
        <v>16.4</v>
      </c>
      <c r="R298" s="10"/>
      <c r="T298" s="4">
        <v>16.9</v>
      </c>
      <c r="U298" s="4">
        <v>19.4</v>
      </c>
      <c r="W298" s="10"/>
      <c r="Y298" s="4">
        <v>100.3</v>
      </c>
      <c r="Z298" s="4" t="s">
        <v>307</v>
      </c>
    </row>
    <row r="299" spans="1:26" ht="12.75">
      <c r="A299">
        <v>295</v>
      </c>
      <c r="B299" s="4" t="s">
        <v>200</v>
      </c>
      <c r="C299" s="4" t="s">
        <v>495</v>
      </c>
      <c r="D299" s="4" t="s">
        <v>66</v>
      </c>
      <c r="E299" s="4" t="s">
        <v>270</v>
      </c>
      <c r="F299" s="4" t="s">
        <v>271</v>
      </c>
      <c r="K299" s="4">
        <v>-10.11</v>
      </c>
      <c r="L299" s="4">
        <f>2*0.83</f>
        <v>1.66</v>
      </c>
      <c r="M299" s="4">
        <v>24001</v>
      </c>
      <c r="N299" s="4">
        <f>2*1401.55</f>
        <v>2803.1</v>
      </c>
      <c r="R299" s="10"/>
      <c r="W299" s="10"/>
      <c r="Z299" s="6" t="s">
        <v>151</v>
      </c>
    </row>
    <row r="300" spans="1:26" ht="12.75">
      <c r="A300">
        <v>296</v>
      </c>
      <c r="B300" s="4" t="s">
        <v>168</v>
      </c>
      <c r="C300" s="4" t="s">
        <v>319</v>
      </c>
      <c r="D300" s="4" t="s">
        <v>130</v>
      </c>
      <c r="E300" s="4" t="s">
        <v>606</v>
      </c>
      <c r="F300" s="4">
        <v>1.5</v>
      </c>
      <c r="K300" s="4">
        <v>-4.58</v>
      </c>
      <c r="L300" s="4">
        <f>2*1.07</f>
        <v>2.14</v>
      </c>
      <c r="M300" s="4">
        <v>38345</v>
      </c>
      <c r="N300" s="4">
        <f>2*1768.51</f>
        <v>3537.02</v>
      </c>
      <c r="O300" s="4">
        <v>59.45</v>
      </c>
      <c r="Q300" s="4">
        <v>25.22</v>
      </c>
      <c r="R300" s="10"/>
      <c r="V300" s="4">
        <v>15.33</v>
      </c>
      <c r="W300" s="10"/>
      <c r="Y300" s="4">
        <f>SUM(O300:X300)</f>
        <v>100</v>
      </c>
      <c r="Z300" s="4" t="s">
        <v>502</v>
      </c>
    </row>
    <row r="301" spans="1:26" ht="12.75">
      <c r="A301">
        <v>297</v>
      </c>
      <c r="B301" s="4" t="s">
        <v>173</v>
      </c>
      <c r="C301" s="4" t="s">
        <v>319</v>
      </c>
      <c r="D301" s="4" t="s">
        <v>130</v>
      </c>
      <c r="E301" s="4" t="s">
        <v>299</v>
      </c>
      <c r="F301" s="4">
        <v>0.5</v>
      </c>
      <c r="I301" s="10" t="s">
        <v>630</v>
      </c>
      <c r="K301" s="4">
        <v>-7.44</v>
      </c>
      <c r="L301" s="4">
        <f>2*1.202</f>
        <v>2.404</v>
      </c>
      <c r="M301" s="4">
        <v>31072</v>
      </c>
      <c r="N301" s="4">
        <f>2*1746.6</f>
        <v>3493.2</v>
      </c>
      <c r="O301" s="4">
        <v>59.8</v>
      </c>
      <c r="P301" s="4">
        <v>0.78</v>
      </c>
      <c r="Q301" s="4">
        <v>19.52</v>
      </c>
      <c r="R301" s="10">
        <v>2.95</v>
      </c>
      <c r="T301" s="4">
        <v>0.66</v>
      </c>
      <c r="U301" s="4">
        <v>3.86</v>
      </c>
      <c r="V301" s="4">
        <v>5.5</v>
      </c>
      <c r="W301" s="10">
        <v>7.31</v>
      </c>
      <c r="Y301" s="4">
        <v>100.38</v>
      </c>
      <c r="Z301" s="4" t="s">
        <v>391</v>
      </c>
    </row>
    <row r="302" spans="1:26" ht="12.75">
      <c r="A302">
        <v>298</v>
      </c>
      <c r="B302" s="4" t="s">
        <v>174</v>
      </c>
      <c r="C302" s="4" t="s">
        <v>319</v>
      </c>
      <c r="D302" s="4" t="s">
        <v>130</v>
      </c>
      <c r="E302" s="4" t="s">
        <v>438</v>
      </c>
      <c r="F302" s="4">
        <v>0.5</v>
      </c>
      <c r="I302" s="10">
        <v>1.7</v>
      </c>
      <c r="K302" s="4">
        <v>-6.45</v>
      </c>
      <c r="L302" s="4">
        <f>2*1.81</f>
        <v>3.62</v>
      </c>
      <c r="M302" s="4">
        <v>29286</v>
      </c>
      <c r="N302" s="4">
        <f>2*2587</f>
        <v>5174</v>
      </c>
      <c r="O302" s="4">
        <v>59.8</v>
      </c>
      <c r="P302" s="4">
        <v>0.78</v>
      </c>
      <c r="Q302" s="4">
        <v>19.52</v>
      </c>
      <c r="R302" s="10">
        <v>2.95</v>
      </c>
      <c r="T302" s="4">
        <v>0.66</v>
      </c>
      <c r="U302" s="4">
        <v>3.86</v>
      </c>
      <c r="V302" s="4">
        <v>5.5</v>
      </c>
      <c r="W302" s="10">
        <v>7.31</v>
      </c>
      <c r="Y302" s="4">
        <v>100.38</v>
      </c>
      <c r="Z302" s="4" t="s">
        <v>391</v>
      </c>
    </row>
    <row r="303" spans="1:26" ht="12.75">
      <c r="A303">
        <v>299</v>
      </c>
      <c r="B303" s="4" t="s">
        <v>175</v>
      </c>
      <c r="C303" s="4" t="s">
        <v>495</v>
      </c>
      <c r="D303" s="4" t="s">
        <v>130</v>
      </c>
      <c r="E303" s="4" t="s">
        <v>438</v>
      </c>
      <c r="F303" s="4">
        <v>0.5</v>
      </c>
      <c r="I303" s="10" t="s">
        <v>633</v>
      </c>
      <c r="K303" s="11" t="s">
        <v>619</v>
      </c>
      <c r="O303" s="4">
        <v>59.8</v>
      </c>
      <c r="P303" s="4">
        <v>0.78</v>
      </c>
      <c r="Q303" s="4">
        <v>19.52</v>
      </c>
      <c r="R303" s="10">
        <v>2.95</v>
      </c>
      <c r="T303" s="4">
        <v>0.66</v>
      </c>
      <c r="U303" s="4">
        <v>3.86</v>
      </c>
      <c r="V303" s="4">
        <v>5.5</v>
      </c>
      <c r="W303" s="10">
        <v>7.31</v>
      </c>
      <c r="Y303" s="4">
        <v>100.38</v>
      </c>
      <c r="Z303" s="4" t="s">
        <v>391</v>
      </c>
    </row>
    <row r="304" spans="1:26" ht="12.75">
      <c r="A304">
        <v>300</v>
      </c>
      <c r="B304" s="4" t="s">
        <v>176</v>
      </c>
      <c r="C304" s="4" t="s">
        <v>319</v>
      </c>
      <c r="D304" s="4" t="s">
        <v>130</v>
      </c>
      <c r="E304" s="4" t="s">
        <v>439</v>
      </c>
      <c r="F304" s="4">
        <v>0.5</v>
      </c>
      <c r="I304" s="10" t="s">
        <v>487</v>
      </c>
      <c r="K304" s="4">
        <v>-11.44</v>
      </c>
      <c r="L304" s="4">
        <f>2*0.07262</f>
        <v>0.14524</v>
      </c>
      <c r="M304" s="4">
        <v>20280</v>
      </c>
      <c r="N304" s="4">
        <f>2*109.9</f>
        <v>219.8</v>
      </c>
      <c r="O304" s="4">
        <v>62.09</v>
      </c>
      <c r="Q304" s="4">
        <v>19.47</v>
      </c>
      <c r="R304" s="10"/>
      <c r="T304" s="4">
        <v>2.53</v>
      </c>
      <c r="U304" s="4">
        <v>10.64</v>
      </c>
      <c r="V304" s="4">
        <v>4.25</v>
      </c>
      <c r="W304" s="10">
        <v>1.02</v>
      </c>
      <c r="Y304" s="4">
        <v>100</v>
      </c>
      <c r="Z304" s="14" t="s">
        <v>536</v>
      </c>
    </row>
    <row r="305" spans="1:26" ht="12.75">
      <c r="A305">
        <v>301</v>
      </c>
      <c r="B305" s="4" t="s">
        <v>99</v>
      </c>
      <c r="C305" s="4" t="s">
        <v>319</v>
      </c>
      <c r="D305" s="4" t="s">
        <v>130</v>
      </c>
      <c r="E305" s="4" t="s">
        <v>673</v>
      </c>
      <c r="F305" s="4">
        <v>0.5</v>
      </c>
      <c r="I305" s="10" t="s">
        <v>702</v>
      </c>
      <c r="K305" s="4">
        <v>-15.63</v>
      </c>
      <c r="L305" s="4">
        <f>2*1.5931</f>
        <v>3.1862</v>
      </c>
      <c r="M305" s="4">
        <v>21691</v>
      </c>
      <c r="N305" s="4">
        <f>2*2298.52</f>
        <v>4597.04</v>
      </c>
      <c r="O305" s="4">
        <v>62.37</v>
      </c>
      <c r="P305" s="4">
        <v>0.48</v>
      </c>
      <c r="Q305" s="4">
        <v>18.61</v>
      </c>
      <c r="R305" s="10">
        <v>3.68</v>
      </c>
      <c r="T305" s="4">
        <v>0.24</v>
      </c>
      <c r="U305" s="4">
        <v>1.73</v>
      </c>
      <c r="V305" s="4">
        <v>5.43</v>
      </c>
      <c r="W305" s="10">
        <v>7.25</v>
      </c>
      <c r="Y305" s="4">
        <v>99.79</v>
      </c>
      <c r="Z305" s="4" t="s">
        <v>391</v>
      </c>
    </row>
    <row r="306" spans="1:26" ht="12.75">
      <c r="A306">
        <v>302</v>
      </c>
      <c r="B306" s="4" t="s">
        <v>561</v>
      </c>
      <c r="C306" s="4" t="s">
        <v>495</v>
      </c>
      <c r="D306" s="4" t="s">
        <v>130</v>
      </c>
      <c r="E306" s="4" t="s">
        <v>673</v>
      </c>
      <c r="F306" s="4">
        <v>0.5</v>
      </c>
      <c r="I306" s="10" t="s">
        <v>631</v>
      </c>
      <c r="K306" s="11" t="s">
        <v>632</v>
      </c>
      <c r="O306" s="4">
        <v>62.37</v>
      </c>
      <c r="P306" s="4">
        <v>0.48</v>
      </c>
      <c r="Q306" s="4">
        <v>18.61</v>
      </c>
      <c r="R306" s="10">
        <v>3.68</v>
      </c>
      <c r="T306" s="4">
        <v>0.24</v>
      </c>
      <c r="U306" s="4">
        <v>1.73</v>
      </c>
      <c r="V306" s="4">
        <v>5.43</v>
      </c>
      <c r="W306" s="10">
        <v>7.25</v>
      </c>
      <c r="Y306" s="4">
        <v>99.79</v>
      </c>
      <c r="Z306" s="4" t="s">
        <v>391</v>
      </c>
    </row>
    <row r="307" spans="1:26" ht="12.75">
      <c r="A307">
        <v>303</v>
      </c>
      <c r="B307" s="4" t="s">
        <v>104</v>
      </c>
      <c r="C307" s="4" t="s">
        <v>319</v>
      </c>
      <c r="D307" s="4" t="s">
        <v>130</v>
      </c>
      <c r="E307" s="4" t="s">
        <v>282</v>
      </c>
      <c r="F307" s="4">
        <v>0.0001</v>
      </c>
      <c r="K307" s="4">
        <v>-6.77</v>
      </c>
      <c r="L307" s="4">
        <f>2*2.19</f>
        <v>4.38</v>
      </c>
      <c r="M307" s="4">
        <v>29425</v>
      </c>
      <c r="N307" s="4">
        <f>2*2702</f>
        <v>5404</v>
      </c>
      <c r="O307" s="4">
        <f>0.5*(66.6+65.7)</f>
        <v>66.15</v>
      </c>
      <c r="Q307" s="4">
        <f>0.5*(9.28+9.96)</f>
        <v>9.620000000000001</v>
      </c>
      <c r="R307" s="10"/>
      <c r="V307" s="4">
        <f>0.5*(20.47+20.71)</f>
        <v>20.59</v>
      </c>
      <c r="W307" s="10">
        <f>0.5*(3.65+3.63)</f>
        <v>3.6399999999999997</v>
      </c>
      <c r="Y307" s="4">
        <v>100</v>
      </c>
      <c r="Z307" s="4" t="s">
        <v>435</v>
      </c>
    </row>
    <row r="308" spans="1:26" ht="12.75">
      <c r="A308">
        <v>304</v>
      </c>
      <c r="B308" s="4" t="s">
        <v>117</v>
      </c>
      <c r="C308" s="4" t="s">
        <v>319</v>
      </c>
      <c r="D308" s="4" t="s">
        <v>66</v>
      </c>
      <c r="E308" s="4" t="s">
        <v>139</v>
      </c>
      <c r="F308" s="4">
        <v>1</v>
      </c>
      <c r="K308" s="4">
        <v>-13.72</v>
      </c>
      <c r="L308" s="4">
        <f>2*1.22</f>
        <v>2.44</v>
      </c>
      <c r="M308" s="4">
        <v>23881</v>
      </c>
      <c r="N308" s="4">
        <f>2*1984</f>
        <v>3968</v>
      </c>
      <c r="O308" s="4">
        <v>72.1</v>
      </c>
      <c r="P308" s="4">
        <v>0.2</v>
      </c>
      <c r="Q308" s="4">
        <v>14.86</v>
      </c>
      <c r="R308" s="10">
        <v>2.2</v>
      </c>
      <c r="T308" s="4">
        <v>0.47</v>
      </c>
      <c r="U308" s="4">
        <v>2.03</v>
      </c>
      <c r="V308" s="4">
        <v>4.13</v>
      </c>
      <c r="W308" s="10">
        <v>3.2</v>
      </c>
      <c r="Y308" s="4">
        <v>99.19</v>
      </c>
      <c r="Z308" s="4" t="s">
        <v>468</v>
      </c>
    </row>
    <row r="309" spans="1:26" ht="12.75">
      <c r="A309">
        <v>305</v>
      </c>
      <c r="B309" s="4" t="s">
        <v>121</v>
      </c>
      <c r="C309" s="4" t="s">
        <v>319</v>
      </c>
      <c r="D309" s="4" t="s">
        <v>130</v>
      </c>
      <c r="E309" s="4" t="s">
        <v>360</v>
      </c>
      <c r="F309" s="4">
        <v>1</v>
      </c>
      <c r="I309" s="10" t="s">
        <v>359</v>
      </c>
      <c r="K309" s="4">
        <v>-10.8</v>
      </c>
      <c r="L309" s="4">
        <f>2*2.592</f>
        <v>5.184</v>
      </c>
      <c r="M309" s="4">
        <v>29751</v>
      </c>
      <c r="N309" s="4">
        <f>2*4074.8</f>
        <v>8149.6</v>
      </c>
      <c r="O309" s="4">
        <f>0.5*(73.91+73.52)</f>
        <v>73.715</v>
      </c>
      <c r="P309" s="4">
        <f>0.5*(0.34+0.24)</f>
        <v>0.29000000000000004</v>
      </c>
      <c r="Q309" s="4">
        <f>0.5*(13.62+13.56)</f>
        <v>13.59</v>
      </c>
      <c r="R309" s="10">
        <f>0.5*(1.9+1.74)</f>
        <v>1.8199999999999998</v>
      </c>
      <c r="S309" s="4">
        <f>0.5*(0.08+0.12)</f>
        <v>0.1</v>
      </c>
      <c r="T309" s="4">
        <f>0.5*(0.19+0.15)</f>
        <v>0.16999999999999998</v>
      </c>
      <c r="U309" s="4">
        <f>0.5*(1.01+0.93)</f>
        <v>0.97</v>
      </c>
      <c r="V309" s="4">
        <f>0.5*(4.83+4.5)</f>
        <v>4.665</v>
      </c>
      <c r="W309" s="10">
        <f>0.5*(4.14+4.2)</f>
        <v>4.17</v>
      </c>
      <c r="Y309" s="4">
        <f>0.5*(99.83+99.4)</f>
        <v>99.61500000000001</v>
      </c>
      <c r="Z309" s="6" t="s">
        <v>402</v>
      </c>
    </row>
    <row r="310" spans="1:26" ht="12.75">
      <c r="A310">
        <v>306</v>
      </c>
      <c r="B310" s="4" t="s">
        <v>124</v>
      </c>
      <c r="C310" s="4" t="s">
        <v>319</v>
      </c>
      <c r="D310" s="4" t="s">
        <v>279</v>
      </c>
      <c r="E310" s="4" t="s">
        <v>288</v>
      </c>
      <c r="F310" s="4">
        <v>0.8</v>
      </c>
      <c r="I310" s="10">
        <v>1</v>
      </c>
      <c r="K310" s="8" t="s">
        <v>217</v>
      </c>
      <c r="O310" s="4">
        <v>76.01</v>
      </c>
      <c r="P310" s="4">
        <v>0.11</v>
      </c>
      <c r="Q310" s="4">
        <v>13</v>
      </c>
      <c r="R310" s="10">
        <v>0.7</v>
      </c>
      <c r="T310" s="4">
        <v>0.09</v>
      </c>
      <c r="U310" s="4">
        <v>0.52</v>
      </c>
      <c r="V310" s="4">
        <v>3.65</v>
      </c>
      <c r="W310" s="10">
        <v>4.81</v>
      </c>
      <c r="Y310" s="4">
        <f>SUM(O310:X310)</f>
        <v>98.89000000000001</v>
      </c>
      <c r="Z310" s="6" t="s">
        <v>578</v>
      </c>
    </row>
    <row r="311" spans="1:26" ht="12.75">
      <c r="A311">
        <v>307</v>
      </c>
      <c r="B311" s="4" t="s">
        <v>124</v>
      </c>
      <c r="C311" s="4" t="s">
        <v>319</v>
      </c>
      <c r="D311" s="4" t="s">
        <v>279</v>
      </c>
      <c r="E311" s="4" t="s">
        <v>288</v>
      </c>
      <c r="F311" s="4">
        <v>0.8</v>
      </c>
      <c r="I311" s="10">
        <v>2</v>
      </c>
      <c r="K311" s="8" t="s">
        <v>217</v>
      </c>
      <c r="O311" s="4">
        <v>76.01</v>
      </c>
      <c r="P311" s="4">
        <v>0.11</v>
      </c>
      <c r="Q311" s="4">
        <v>13</v>
      </c>
      <c r="R311" s="10">
        <v>0.7</v>
      </c>
      <c r="T311" s="4">
        <v>0.09</v>
      </c>
      <c r="U311" s="4">
        <v>0.52</v>
      </c>
      <c r="V311" s="4">
        <v>3.65</v>
      </c>
      <c r="W311" s="10">
        <v>4.81</v>
      </c>
      <c r="Y311" s="4">
        <f>SUM(O311:X311)</f>
        <v>98.89000000000001</v>
      </c>
      <c r="Z311" s="6" t="s">
        <v>578</v>
      </c>
    </row>
    <row r="312" spans="1:26" ht="12.75">
      <c r="A312">
        <v>308</v>
      </c>
      <c r="B312" s="4" t="s">
        <v>124</v>
      </c>
      <c r="C312" s="4" t="s">
        <v>319</v>
      </c>
      <c r="D312" s="4" t="s">
        <v>279</v>
      </c>
      <c r="E312" s="4" t="s">
        <v>288</v>
      </c>
      <c r="F312" s="4">
        <v>0.8</v>
      </c>
      <c r="I312" s="10">
        <v>4</v>
      </c>
      <c r="K312" s="8" t="s">
        <v>217</v>
      </c>
      <c r="O312" s="4">
        <v>76.01</v>
      </c>
      <c r="P312" s="4">
        <v>0.11</v>
      </c>
      <c r="Q312" s="4">
        <v>13</v>
      </c>
      <c r="R312" s="10">
        <v>0.7</v>
      </c>
      <c r="T312" s="4">
        <v>0.09</v>
      </c>
      <c r="U312" s="4">
        <v>0.52</v>
      </c>
      <c r="V312" s="4">
        <v>3.65</v>
      </c>
      <c r="W312" s="10">
        <v>4.81</v>
      </c>
      <c r="Y312" s="4">
        <f>SUM(O312:X312)</f>
        <v>98.89000000000001</v>
      </c>
      <c r="Z312" s="6" t="s">
        <v>578</v>
      </c>
    </row>
    <row r="313" spans="1:26" ht="12.75">
      <c r="A313">
        <v>309</v>
      </c>
      <c r="B313" s="4" t="s">
        <v>124</v>
      </c>
      <c r="C313" s="4" t="s">
        <v>319</v>
      </c>
      <c r="D313" s="4" t="s">
        <v>279</v>
      </c>
      <c r="E313" s="4" t="s">
        <v>288</v>
      </c>
      <c r="F313" s="4">
        <v>0.8</v>
      </c>
      <c r="I313" s="10">
        <v>6</v>
      </c>
      <c r="K313" s="8" t="s">
        <v>217</v>
      </c>
      <c r="O313" s="4">
        <v>76.01</v>
      </c>
      <c r="P313" s="4">
        <v>0.11</v>
      </c>
      <c r="Q313" s="4">
        <v>13</v>
      </c>
      <c r="R313" s="10">
        <v>0.7</v>
      </c>
      <c r="T313" s="4">
        <v>0.09</v>
      </c>
      <c r="U313" s="4">
        <v>0.52</v>
      </c>
      <c r="V313" s="4">
        <v>3.65</v>
      </c>
      <c r="W313" s="10">
        <v>4.81</v>
      </c>
      <c r="Y313" s="4">
        <f>SUM(O313:X313)</f>
        <v>98.89000000000001</v>
      </c>
      <c r="Z313" s="6" t="s">
        <v>578</v>
      </c>
    </row>
    <row r="314" spans="1:26" ht="12.75">
      <c r="A314">
        <v>310</v>
      </c>
      <c r="B314" s="4" t="s">
        <v>128</v>
      </c>
      <c r="C314" s="4" t="s">
        <v>319</v>
      </c>
      <c r="D314" s="4" t="s">
        <v>130</v>
      </c>
      <c r="E314" s="4" t="s">
        <v>401</v>
      </c>
      <c r="F314" s="4">
        <v>0.0001</v>
      </c>
      <c r="K314" s="4">
        <v>-9.9</v>
      </c>
      <c r="L314" s="4">
        <f>2*0.46</f>
        <v>0.92</v>
      </c>
      <c r="M314" s="4">
        <v>35847</v>
      </c>
      <c r="N314" s="4">
        <f>2*744</f>
        <v>1488</v>
      </c>
      <c r="O314" s="4">
        <f>0.5*(79.64+79.21)</f>
        <v>79.425</v>
      </c>
      <c r="Q314" s="4">
        <f>0.5*(11.33+11.95)</f>
        <v>11.64</v>
      </c>
      <c r="R314" s="10"/>
      <c r="V314" s="4">
        <f>0.5*(4.88+4.66)</f>
        <v>4.77</v>
      </c>
      <c r="W314" s="10">
        <f>0.5*(4.15+4.18)</f>
        <v>4.165</v>
      </c>
      <c r="Y314" s="4">
        <v>100</v>
      </c>
      <c r="Z314" s="4" t="s">
        <v>435</v>
      </c>
    </row>
    <row r="315" spans="1:26" ht="12.75">
      <c r="A315">
        <v>311</v>
      </c>
      <c r="B315" s="4" t="s">
        <v>129</v>
      </c>
      <c r="C315" s="4" t="s">
        <v>319</v>
      </c>
      <c r="D315" s="4" t="s">
        <v>130</v>
      </c>
      <c r="E315" s="4" t="s">
        <v>146</v>
      </c>
      <c r="F315" s="4">
        <v>1</v>
      </c>
      <c r="I315" s="10">
        <v>3.6</v>
      </c>
      <c r="K315" s="4">
        <v>-14.7</v>
      </c>
      <c r="L315" s="4" t="s">
        <v>186</v>
      </c>
      <c r="M315" s="4">
        <v>18320</v>
      </c>
      <c r="N315" s="4" t="s">
        <v>145</v>
      </c>
      <c r="O315" s="4">
        <f>0.5*(79.64+79.21)</f>
        <v>79.425</v>
      </c>
      <c r="Q315" s="4">
        <f>0.5*(11.33+11.95)</f>
        <v>11.64</v>
      </c>
      <c r="R315" s="10"/>
      <c r="V315" s="4">
        <f>0.5*(4.88+4.66)</f>
        <v>4.77</v>
      </c>
      <c r="W315" s="10">
        <f>0.5*(4.15+4.18)</f>
        <v>4.165</v>
      </c>
      <c r="Y315" s="4">
        <v>100</v>
      </c>
      <c r="Z315" s="4" t="s">
        <v>435</v>
      </c>
    </row>
    <row r="316" spans="1:26" ht="12.75">
      <c r="A316">
        <v>312</v>
      </c>
      <c r="B316" s="4" t="s">
        <v>23</v>
      </c>
      <c r="C316" s="4" t="s">
        <v>8</v>
      </c>
      <c r="D316" s="4" t="s">
        <v>25</v>
      </c>
      <c r="E316" s="4" t="s">
        <v>438</v>
      </c>
      <c r="F316" s="4">
        <v>0.5</v>
      </c>
      <c r="I316" s="10" t="s">
        <v>26</v>
      </c>
      <c r="K316" s="8" t="s">
        <v>9</v>
      </c>
      <c r="R316" s="10"/>
      <c r="W316" s="10"/>
      <c r="Z316" s="4" t="s">
        <v>51</v>
      </c>
    </row>
    <row r="317" spans="1:26" ht="12.75">
      <c r="A317">
        <v>313</v>
      </c>
      <c r="B317" s="4" t="s">
        <v>27</v>
      </c>
      <c r="C317" s="4" t="s">
        <v>8</v>
      </c>
      <c r="D317" s="4" t="s">
        <v>25</v>
      </c>
      <c r="E317" s="4" t="s">
        <v>438</v>
      </c>
      <c r="F317" s="4">
        <v>0.5</v>
      </c>
      <c r="I317" s="10" t="s">
        <v>28</v>
      </c>
      <c r="K317" s="8" t="s">
        <v>10</v>
      </c>
      <c r="R317" s="10"/>
      <c r="W317" s="10"/>
      <c r="Z317" s="4" t="s">
        <v>37</v>
      </c>
    </row>
    <row r="318" spans="1:26" ht="12.75">
      <c r="A318">
        <v>314</v>
      </c>
      <c r="R318" s="10"/>
      <c r="W318" s="10"/>
      <c r="Z318" s="4"/>
    </row>
    <row r="319" spans="1:26" ht="12.75">
      <c r="A319">
        <v>315</v>
      </c>
      <c r="B319" s="4" t="s">
        <v>168</v>
      </c>
      <c r="C319" s="4" t="s">
        <v>643</v>
      </c>
      <c r="D319" s="4" t="s">
        <v>130</v>
      </c>
      <c r="E319" s="4" t="s">
        <v>650</v>
      </c>
      <c r="F319" s="4">
        <v>1.5</v>
      </c>
      <c r="K319" s="4">
        <v>-5.63</v>
      </c>
      <c r="L319" s="4">
        <f>2*3.23</f>
        <v>6.46</v>
      </c>
      <c r="M319" s="4">
        <v>36782</v>
      </c>
      <c r="N319" s="4">
        <f>2*5338.504</f>
        <v>10677.008</v>
      </c>
      <c r="O319" s="4">
        <v>59.45</v>
      </c>
      <c r="Q319" s="4">
        <v>25.22</v>
      </c>
      <c r="R319" s="10"/>
      <c r="V319" s="4">
        <v>15.33</v>
      </c>
      <c r="W319" s="10"/>
      <c r="Y319" s="4">
        <f>SUM(O319:X319)</f>
        <v>100</v>
      </c>
      <c r="Z319" s="4" t="s">
        <v>502</v>
      </c>
    </row>
    <row r="320" spans="1:26" ht="12.75">
      <c r="A320">
        <v>316</v>
      </c>
      <c r="B320" s="4" t="s">
        <v>173</v>
      </c>
      <c r="C320" s="4" t="s">
        <v>643</v>
      </c>
      <c r="D320" s="4" t="s">
        <v>130</v>
      </c>
      <c r="E320" s="4" t="s">
        <v>384</v>
      </c>
      <c r="F320" s="4">
        <v>0.5</v>
      </c>
      <c r="I320" s="10" t="s">
        <v>655</v>
      </c>
      <c r="K320" s="4">
        <v>-5.84</v>
      </c>
      <c r="L320" s="4">
        <f>2*1.63</f>
        <v>3.26</v>
      </c>
      <c r="M320" s="4">
        <v>33648</v>
      </c>
      <c r="N320" s="4">
        <f>2*2370.72</f>
        <v>4741.44</v>
      </c>
      <c r="O320" s="4">
        <v>59.8</v>
      </c>
      <c r="P320" s="4">
        <v>0.78</v>
      </c>
      <c r="Q320" s="4">
        <v>19.52</v>
      </c>
      <c r="R320" s="10">
        <v>2.95</v>
      </c>
      <c r="T320" s="4">
        <v>0.66</v>
      </c>
      <c r="U320" s="4">
        <v>3.86</v>
      </c>
      <c r="V320" s="4">
        <v>5.5</v>
      </c>
      <c r="W320" s="10">
        <v>7.31</v>
      </c>
      <c r="Y320" s="4">
        <v>100.38</v>
      </c>
      <c r="Z320" s="4" t="s">
        <v>391</v>
      </c>
    </row>
    <row r="321" spans="1:26" ht="12.75">
      <c r="A321">
        <v>317</v>
      </c>
      <c r="B321" s="4" t="s">
        <v>174</v>
      </c>
      <c r="C321" s="4" t="s">
        <v>643</v>
      </c>
      <c r="D321" s="4" t="s">
        <v>130</v>
      </c>
      <c r="E321" s="4" t="s">
        <v>492</v>
      </c>
      <c r="F321" s="4">
        <v>0.5</v>
      </c>
      <c r="I321" s="10" t="s">
        <v>450</v>
      </c>
      <c r="K321" s="4">
        <v>-6.1</v>
      </c>
      <c r="L321" s="4">
        <f>2*1.281</f>
        <v>2.562</v>
      </c>
      <c r="M321" s="4">
        <v>29826</v>
      </c>
      <c r="N321" s="4">
        <f>2*1832.66</f>
        <v>3665.32</v>
      </c>
      <c r="O321" s="4">
        <v>59.8</v>
      </c>
      <c r="P321" s="4">
        <v>0.78</v>
      </c>
      <c r="Q321" s="4">
        <v>19.52</v>
      </c>
      <c r="R321" s="10">
        <v>2.95</v>
      </c>
      <c r="T321" s="4">
        <v>0.66</v>
      </c>
      <c r="U321" s="4">
        <v>3.86</v>
      </c>
      <c r="V321" s="4">
        <v>5.5</v>
      </c>
      <c r="W321" s="10">
        <v>7.31</v>
      </c>
      <c r="Y321" s="4">
        <v>100.38</v>
      </c>
      <c r="Z321" s="4" t="s">
        <v>391</v>
      </c>
    </row>
    <row r="322" spans="1:26" ht="12.75">
      <c r="A322">
        <v>318</v>
      </c>
      <c r="B322" s="4" t="s">
        <v>176</v>
      </c>
      <c r="C322" s="4" t="s">
        <v>643</v>
      </c>
      <c r="D322" s="4" t="s">
        <v>130</v>
      </c>
      <c r="E322" s="4" t="s">
        <v>522</v>
      </c>
      <c r="F322" s="4">
        <v>0.5</v>
      </c>
      <c r="I322" s="10" t="s">
        <v>487</v>
      </c>
      <c r="K322" s="4">
        <v>-10.99</v>
      </c>
      <c r="L322" s="4">
        <f>2*0.4027</f>
        <v>0.8054</v>
      </c>
      <c r="M322" s="4">
        <v>21199</v>
      </c>
      <c r="N322" s="4">
        <f>2*609.3</f>
        <v>1218.6</v>
      </c>
      <c r="O322" s="4">
        <v>62.09</v>
      </c>
      <c r="Q322" s="4">
        <v>19.47</v>
      </c>
      <c r="R322" s="10"/>
      <c r="T322" s="4">
        <v>2.53</v>
      </c>
      <c r="U322" s="4">
        <v>10.64</v>
      </c>
      <c r="V322" s="4">
        <v>4.25</v>
      </c>
      <c r="W322" s="10">
        <v>1.02</v>
      </c>
      <c r="Y322" s="4">
        <v>100</v>
      </c>
      <c r="Z322" s="14" t="s">
        <v>356</v>
      </c>
    </row>
    <row r="323" spans="1:26" ht="12.75">
      <c r="A323">
        <v>319</v>
      </c>
      <c r="B323" s="4" t="s">
        <v>99</v>
      </c>
      <c r="C323" s="4" t="s">
        <v>643</v>
      </c>
      <c r="D323" s="4" t="s">
        <v>130</v>
      </c>
      <c r="E323" s="4" t="s">
        <v>389</v>
      </c>
      <c r="F323" s="4">
        <v>0.5</v>
      </c>
      <c r="I323" s="10" t="s">
        <v>558</v>
      </c>
      <c r="K323" s="4">
        <v>-16.01</v>
      </c>
      <c r="L323" s="4">
        <f>2*0.8024</f>
        <v>1.6048</v>
      </c>
      <c r="M323" s="4">
        <v>21387</v>
      </c>
      <c r="N323" s="4">
        <f>2*1157.7</f>
        <v>2315.4</v>
      </c>
      <c r="O323" s="4">
        <v>62.37</v>
      </c>
      <c r="P323" s="4">
        <v>0.48</v>
      </c>
      <c r="Q323" s="4">
        <v>18.61</v>
      </c>
      <c r="R323" s="10">
        <v>3.68</v>
      </c>
      <c r="T323" s="4">
        <v>0.24</v>
      </c>
      <c r="U323" s="4">
        <v>1.73</v>
      </c>
      <c r="V323" s="4">
        <v>5.43</v>
      </c>
      <c r="W323" s="10">
        <v>7.25</v>
      </c>
      <c r="Y323" s="4">
        <v>99.79</v>
      </c>
      <c r="Z323" s="4" t="s">
        <v>391</v>
      </c>
    </row>
    <row r="324" spans="1:26" ht="12.75">
      <c r="A324">
        <v>320</v>
      </c>
      <c r="B324" s="4" t="s">
        <v>124</v>
      </c>
      <c r="C324" s="4" t="s">
        <v>643</v>
      </c>
      <c r="D324" s="4" t="s">
        <v>279</v>
      </c>
      <c r="E324" s="4" t="s">
        <v>288</v>
      </c>
      <c r="F324" s="4">
        <v>0.8</v>
      </c>
      <c r="I324" s="10">
        <v>1</v>
      </c>
      <c r="K324" s="8" t="s">
        <v>216</v>
      </c>
      <c r="O324" s="4">
        <v>76.01</v>
      </c>
      <c r="P324" s="4">
        <v>0.11</v>
      </c>
      <c r="Q324" s="4">
        <v>13</v>
      </c>
      <c r="R324" s="10">
        <v>0.7</v>
      </c>
      <c r="T324" s="4">
        <v>0.09</v>
      </c>
      <c r="U324" s="4">
        <v>0.52</v>
      </c>
      <c r="V324" s="4">
        <v>3.65</v>
      </c>
      <c r="W324" s="10">
        <v>4.81</v>
      </c>
      <c r="Y324" s="4">
        <f>SUM(O324:X324)</f>
        <v>98.89000000000001</v>
      </c>
      <c r="Z324" s="6" t="s">
        <v>578</v>
      </c>
    </row>
    <row r="325" spans="1:26" ht="12.75">
      <c r="A325">
        <v>321</v>
      </c>
      <c r="B325" s="4" t="s">
        <v>124</v>
      </c>
      <c r="C325" s="4" t="s">
        <v>643</v>
      </c>
      <c r="D325" s="4" t="s">
        <v>279</v>
      </c>
      <c r="E325" s="4" t="s">
        <v>288</v>
      </c>
      <c r="F325" s="4">
        <v>0.8</v>
      </c>
      <c r="I325" s="10">
        <v>2</v>
      </c>
      <c r="K325" s="8" t="s">
        <v>216</v>
      </c>
      <c r="O325" s="4">
        <v>76.01</v>
      </c>
      <c r="P325" s="4">
        <v>0.11</v>
      </c>
      <c r="Q325" s="4">
        <v>13</v>
      </c>
      <c r="R325" s="10">
        <v>0.7</v>
      </c>
      <c r="T325" s="4">
        <v>0.09</v>
      </c>
      <c r="U325" s="4">
        <v>0.52</v>
      </c>
      <c r="V325" s="4">
        <v>3.65</v>
      </c>
      <c r="W325" s="10">
        <v>4.81</v>
      </c>
      <c r="Y325" s="4">
        <f>SUM(O325:X325)</f>
        <v>98.89000000000001</v>
      </c>
      <c r="Z325" s="6" t="s">
        <v>578</v>
      </c>
    </row>
    <row r="326" spans="1:26" ht="12.75">
      <c r="A326">
        <v>322</v>
      </c>
      <c r="B326" s="4" t="s">
        <v>124</v>
      </c>
      <c r="C326" s="4" t="s">
        <v>643</v>
      </c>
      <c r="D326" s="4" t="s">
        <v>279</v>
      </c>
      <c r="E326" s="4" t="s">
        <v>288</v>
      </c>
      <c r="F326" s="4">
        <v>0.8</v>
      </c>
      <c r="I326" s="10">
        <v>4</v>
      </c>
      <c r="K326" s="8" t="s">
        <v>216</v>
      </c>
      <c r="O326" s="4">
        <v>76.01</v>
      </c>
      <c r="P326" s="4">
        <v>0.11</v>
      </c>
      <c r="Q326" s="4">
        <v>13</v>
      </c>
      <c r="R326" s="10">
        <v>0.7</v>
      </c>
      <c r="T326" s="4">
        <v>0.09</v>
      </c>
      <c r="U326" s="4">
        <v>0.52</v>
      </c>
      <c r="V326" s="4">
        <v>3.65</v>
      </c>
      <c r="W326" s="10">
        <v>4.81</v>
      </c>
      <c r="Y326" s="4">
        <f>SUM(O326:X326)</f>
        <v>98.89000000000001</v>
      </c>
      <c r="Z326" s="6" t="s">
        <v>578</v>
      </c>
    </row>
    <row r="327" spans="1:26" ht="12.75">
      <c r="A327">
        <v>323</v>
      </c>
      <c r="B327" s="4" t="s">
        <v>124</v>
      </c>
      <c r="C327" s="4" t="s">
        <v>643</v>
      </c>
      <c r="D327" s="4" t="s">
        <v>279</v>
      </c>
      <c r="E327" s="4" t="s">
        <v>288</v>
      </c>
      <c r="F327" s="4">
        <v>0.8</v>
      </c>
      <c r="I327" s="10">
        <v>6</v>
      </c>
      <c r="K327" s="8" t="s">
        <v>216</v>
      </c>
      <c r="O327" s="4">
        <v>76.01</v>
      </c>
      <c r="P327" s="4">
        <v>0.11</v>
      </c>
      <c r="Q327" s="4">
        <v>13</v>
      </c>
      <c r="R327" s="10">
        <v>0.7</v>
      </c>
      <c r="T327" s="4">
        <v>0.09</v>
      </c>
      <c r="U327" s="4">
        <v>0.52</v>
      </c>
      <c r="V327" s="4">
        <v>3.65</v>
      </c>
      <c r="W327" s="10">
        <v>4.81</v>
      </c>
      <c r="Y327" s="4">
        <f>SUM(O327:X327)</f>
        <v>98.89000000000001</v>
      </c>
      <c r="Z327" s="6" t="s">
        <v>578</v>
      </c>
    </row>
    <row r="328" spans="1:26" ht="12.75">
      <c r="A328">
        <v>324</v>
      </c>
      <c r="B328" s="4" t="s">
        <v>23</v>
      </c>
      <c r="C328" s="4" t="s">
        <v>8</v>
      </c>
      <c r="D328" s="4" t="s">
        <v>25</v>
      </c>
      <c r="E328" s="4" t="s">
        <v>438</v>
      </c>
      <c r="F328" s="4">
        <v>0.5</v>
      </c>
      <c r="I328" s="10" t="s">
        <v>26</v>
      </c>
      <c r="K328" s="8" t="s">
        <v>11</v>
      </c>
      <c r="R328" s="10"/>
      <c r="W328" s="10"/>
      <c r="Z328" s="4" t="s">
        <v>51</v>
      </c>
    </row>
    <row r="329" spans="1:26" ht="12.75">
      <c r="A329">
        <v>325</v>
      </c>
      <c r="B329" s="4" t="s">
        <v>27</v>
      </c>
      <c r="C329" s="4" t="s">
        <v>8</v>
      </c>
      <c r="D329" s="4" t="s">
        <v>25</v>
      </c>
      <c r="E329" s="4" t="s">
        <v>438</v>
      </c>
      <c r="F329" s="4">
        <v>0.5</v>
      </c>
      <c r="I329" s="10" t="s">
        <v>28</v>
      </c>
      <c r="K329" s="8" t="s">
        <v>12</v>
      </c>
      <c r="R329" s="10"/>
      <c r="W329" s="10"/>
      <c r="Z329" s="4" t="s">
        <v>37</v>
      </c>
    </row>
    <row r="330" spans="1:26" ht="12.75">
      <c r="A330">
        <v>326</v>
      </c>
      <c r="R330" s="10"/>
      <c r="W330" s="10"/>
      <c r="Z330" s="4"/>
    </row>
    <row r="331" spans="1:26" ht="12.75">
      <c r="A331">
        <v>327</v>
      </c>
      <c r="B331" s="4" t="s">
        <v>153</v>
      </c>
      <c r="C331" s="4" t="s">
        <v>601</v>
      </c>
      <c r="D331" s="4" t="s">
        <v>83</v>
      </c>
      <c r="E331" s="4" t="s">
        <v>142</v>
      </c>
      <c r="F331" s="4">
        <v>0.0001</v>
      </c>
      <c r="G331" s="4">
        <v>4.3</v>
      </c>
      <c r="K331" s="4">
        <v>-1.13</v>
      </c>
      <c r="L331" s="4">
        <f>2*3.254</f>
        <v>6.508</v>
      </c>
      <c r="M331" s="4">
        <v>38399</v>
      </c>
      <c r="N331" s="4">
        <f>2*5273</f>
        <v>10546</v>
      </c>
      <c r="O331" s="10">
        <v>45.9</v>
      </c>
      <c r="P331" s="10">
        <v>3.72</v>
      </c>
      <c r="Q331" s="10">
        <v>16.55</v>
      </c>
      <c r="R331" s="10">
        <v>12.58</v>
      </c>
      <c r="S331" s="10">
        <v>0.18</v>
      </c>
      <c r="T331" s="10">
        <v>6.3</v>
      </c>
      <c r="U331" s="10">
        <v>9.62</v>
      </c>
      <c r="V331" s="10">
        <v>3.79</v>
      </c>
      <c r="W331" s="10">
        <v>1.73</v>
      </c>
      <c r="X331" s="10">
        <v>0.52</v>
      </c>
      <c r="Y331" s="10">
        <v>100.89</v>
      </c>
      <c r="Z331" s="4" t="s">
        <v>531</v>
      </c>
    </row>
    <row r="332" spans="1:26" ht="12.75">
      <c r="A332">
        <v>328</v>
      </c>
      <c r="B332" s="4" t="s">
        <v>154</v>
      </c>
      <c r="C332" s="4" t="s">
        <v>601</v>
      </c>
      <c r="D332" s="4" t="s">
        <v>66</v>
      </c>
      <c r="E332" s="4" t="s">
        <v>697</v>
      </c>
      <c r="F332" s="4">
        <v>0.0001</v>
      </c>
      <c r="G332" s="4">
        <v>4.3</v>
      </c>
      <c r="K332" s="4">
        <v>-10.46</v>
      </c>
      <c r="L332" s="4">
        <f>2*0.8653</f>
        <v>1.7306</v>
      </c>
      <c r="M332" s="4">
        <v>23505</v>
      </c>
      <c r="N332" s="4">
        <f>2*1475</f>
        <v>2950</v>
      </c>
      <c r="O332" s="10">
        <v>47.6</v>
      </c>
      <c r="P332" s="10"/>
      <c r="Q332" s="10">
        <v>16.4</v>
      </c>
      <c r="R332" s="10"/>
      <c r="S332" s="10"/>
      <c r="T332" s="10">
        <v>16.9</v>
      </c>
      <c r="U332" s="10">
        <v>19.4</v>
      </c>
      <c r="V332" s="10"/>
      <c r="W332" s="10"/>
      <c r="X332" s="10"/>
      <c r="Y332" s="10">
        <v>100.3</v>
      </c>
      <c r="Z332" s="4" t="s">
        <v>307</v>
      </c>
    </row>
    <row r="333" spans="1:26" ht="12.75">
      <c r="A333">
        <v>329</v>
      </c>
      <c r="B333" s="4" t="s">
        <v>154</v>
      </c>
      <c r="C333" s="4" t="s">
        <v>601</v>
      </c>
      <c r="D333" s="4" t="s">
        <v>66</v>
      </c>
      <c r="E333" s="4" t="s">
        <v>697</v>
      </c>
      <c r="F333" s="4">
        <v>0.0001</v>
      </c>
      <c r="G333" s="4" t="s">
        <v>696</v>
      </c>
      <c r="K333" s="4">
        <v>-10.11</v>
      </c>
      <c r="L333" s="4">
        <f>2*0.14</f>
        <v>0.28</v>
      </c>
      <c r="M333" s="4">
        <v>23505</v>
      </c>
      <c r="N333" s="4">
        <f>2*239.7</f>
        <v>479.4</v>
      </c>
      <c r="O333" s="10">
        <v>47.6</v>
      </c>
      <c r="P333" s="10"/>
      <c r="Q333" s="10">
        <v>16.4</v>
      </c>
      <c r="R333" s="10"/>
      <c r="S333" s="10"/>
      <c r="T333" s="10">
        <v>16.9</v>
      </c>
      <c r="U333" s="10">
        <v>19.4</v>
      </c>
      <c r="V333" s="10"/>
      <c r="W333" s="10"/>
      <c r="X333" s="10"/>
      <c r="Y333" s="10">
        <v>100.3</v>
      </c>
      <c r="Z333" s="4" t="s">
        <v>307</v>
      </c>
    </row>
    <row r="334" spans="1:27" ht="12.75">
      <c r="A334">
        <v>330</v>
      </c>
      <c r="B334" s="4" t="s">
        <v>162</v>
      </c>
      <c r="C334" s="4" t="s">
        <v>443</v>
      </c>
      <c r="D334" s="4" t="s">
        <v>83</v>
      </c>
      <c r="E334" s="4" t="s">
        <v>225</v>
      </c>
      <c r="F334" s="4">
        <v>0.0001</v>
      </c>
      <c r="G334" s="4">
        <v>4.3</v>
      </c>
      <c r="K334" s="4">
        <v>-14.64</v>
      </c>
      <c r="L334" s="4">
        <f>2*1.31</f>
        <v>2.62</v>
      </c>
      <c r="M334" s="4">
        <v>16092</v>
      </c>
      <c r="N334" s="4">
        <f>2*2124.88</f>
        <v>4249.76</v>
      </c>
      <c r="O334" s="10">
        <v>49.68</v>
      </c>
      <c r="P334" s="10">
        <v>2.59</v>
      </c>
      <c r="Q334" s="10">
        <v>12.7</v>
      </c>
      <c r="R334" s="10">
        <v>11.05</v>
      </c>
      <c r="S334" s="10">
        <v>0.17</v>
      </c>
      <c r="T334" s="10">
        <v>9.46</v>
      </c>
      <c r="U334" s="10">
        <v>10.79</v>
      </c>
      <c r="V334" s="10">
        <v>2.31</v>
      </c>
      <c r="W334" s="10">
        <v>0.48</v>
      </c>
      <c r="X334" s="10"/>
      <c r="Y334" s="9">
        <f>SUM(O334:X334)</f>
        <v>99.23</v>
      </c>
      <c r="Z334" s="6" t="s">
        <v>541</v>
      </c>
      <c r="AA334" s="2"/>
    </row>
    <row r="335" spans="1:26" ht="12.75">
      <c r="A335">
        <v>331</v>
      </c>
      <c r="B335" s="4" t="s">
        <v>167</v>
      </c>
      <c r="C335" s="4" t="s">
        <v>601</v>
      </c>
      <c r="D335" s="4" t="s">
        <v>83</v>
      </c>
      <c r="E335" s="4" t="s">
        <v>141</v>
      </c>
      <c r="F335" s="4">
        <v>0.0001</v>
      </c>
      <c r="G335" s="4">
        <v>4.3</v>
      </c>
      <c r="K335" s="4">
        <v>-9.8</v>
      </c>
      <c r="L335" s="4">
        <f>2*1.6166</f>
        <v>3.2332</v>
      </c>
      <c r="M335" s="4">
        <v>27039</v>
      </c>
      <c r="N335" s="4">
        <f>2*2572.6</f>
        <v>5145.2</v>
      </c>
      <c r="O335" s="10">
        <v>57.76</v>
      </c>
      <c r="P335" s="10">
        <v>0.85</v>
      </c>
      <c r="Q335" s="10">
        <v>19.14</v>
      </c>
      <c r="R335" s="10">
        <v>6.71</v>
      </c>
      <c r="S335" s="10">
        <v>0.11</v>
      </c>
      <c r="T335" s="10">
        <v>3.45</v>
      </c>
      <c r="U335" s="10">
        <v>6.27</v>
      </c>
      <c r="V335" s="10">
        <v>4.31</v>
      </c>
      <c r="W335" s="10">
        <v>1.79</v>
      </c>
      <c r="X335" s="10">
        <v>0.2</v>
      </c>
      <c r="Y335" s="10">
        <v>100.59</v>
      </c>
      <c r="Z335" s="4" t="s">
        <v>531</v>
      </c>
    </row>
    <row r="336" spans="1:26" ht="12.75">
      <c r="A336">
        <v>332</v>
      </c>
      <c r="B336" s="4" t="s">
        <v>168</v>
      </c>
      <c r="C336" s="4" t="s">
        <v>601</v>
      </c>
      <c r="D336" s="4" t="s">
        <v>130</v>
      </c>
      <c r="E336" s="4" t="s">
        <v>650</v>
      </c>
      <c r="F336" s="4">
        <v>1.5</v>
      </c>
      <c r="K336" s="4">
        <v>-18.47</v>
      </c>
      <c r="L336" s="4">
        <f>2*3.71</f>
        <v>7.42</v>
      </c>
      <c r="M336" s="4">
        <v>12062</v>
      </c>
      <c r="N336" s="4">
        <f>2*6130.52</f>
        <v>12261.04</v>
      </c>
      <c r="O336" s="10">
        <v>59.45</v>
      </c>
      <c r="P336" s="10"/>
      <c r="Q336" s="10">
        <v>25.22</v>
      </c>
      <c r="R336" s="10"/>
      <c r="S336" s="10"/>
      <c r="T336" s="10"/>
      <c r="U336" s="10"/>
      <c r="V336" s="10">
        <v>15.33</v>
      </c>
      <c r="W336" s="10"/>
      <c r="X336" s="10"/>
      <c r="Y336" s="10">
        <f>SUM(O336:X336)</f>
        <v>100</v>
      </c>
      <c r="Z336" s="4" t="s">
        <v>502</v>
      </c>
    </row>
    <row r="337" spans="1:26" ht="12.75">
      <c r="A337">
        <v>333</v>
      </c>
      <c r="B337" s="4" t="s">
        <v>173</v>
      </c>
      <c r="C337" s="4" t="s">
        <v>601</v>
      </c>
      <c r="D337" s="4" t="s">
        <v>130</v>
      </c>
      <c r="E337" s="4">
        <v>1373</v>
      </c>
      <c r="F337" s="4">
        <v>1523</v>
      </c>
      <c r="I337" s="10" t="s">
        <v>143</v>
      </c>
      <c r="K337" s="4">
        <v>0.04</v>
      </c>
      <c r="L337" s="4">
        <f>2*5.3785</f>
        <v>10.757</v>
      </c>
      <c r="M337" s="4">
        <v>40138</v>
      </c>
      <c r="N337" s="4">
        <f>2*7816.7</f>
        <v>15633.4</v>
      </c>
      <c r="O337" s="10">
        <v>59.8</v>
      </c>
      <c r="P337" s="10">
        <v>0.78</v>
      </c>
      <c r="Q337" s="10">
        <v>19.52</v>
      </c>
      <c r="R337" s="10">
        <v>2.95</v>
      </c>
      <c r="S337" s="10"/>
      <c r="T337" s="10">
        <v>0.66</v>
      </c>
      <c r="U337" s="10">
        <v>3.86</v>
      </c>
      <c r="V337" s="10">
        <v>5.5</v>
      </c>
      <c r="W337" s="10">
        <v>7.31</v>
      </c>
      <c r="X337" s="10"/>
      <c r="Y337" s="10">
        <v>100.38</v>
      </c>
      <c r="Z337" s="4" t="s">
        <v>391</v>
      </c>
    </row>
    <row r="338" spans="1:26" ht="12.75">
      <c r="A338">
        <v>334</v>
      </c>
      <c r="B338" s="4" t="s">
        <v>176</v>
      </c>
      <c r="C338" s="4" t="s">
        <v>601</v>
      </c>
      <c r="D338" s="4" t="s">
        <v>130</v>
      </c>
      <c r="E338" s="4" t="s">
        <v>522</v>
      </c>
      <c r="F338" s="4">
        <v>0.5</v>
      </c>
      <c r="I338" s="10" t="s">
        <v>387</v>
      </c>
      <c r="K338" s="4">
        <v>-11.88</v>
      </c>
      <c r="L338" s="4">
        <f>2*0.86</f>
        <v>1.72</v>
      </c>
      <c r="M338" s="4">
        <v>19575</v>
      </c>
      <c r="N338" s="4">
        <f>2*1300</f>
        <v>2600</v>
      </c>
      <c r="O338" s="10">
        <v>62.09</v>
      </c>
      <c r="P338" s="10"/>
      <c r="Q338" s="10">
        <v>19.47</v>
      </c>
      <c r="R338" s="10"/>
      <c r="S338" s="10"/>
      <c r="T338" s="10">
        <v>2.53</v>
      </c>
      <c r="U338" s="10">
        <v>10.64</v>
      </c>
      <c r="V338" s="10">
        <v>4.25</v>
      </c>
      <c r="W338" s="10">
        <v>1.02</v>
      </c>
      <c r="X338" s="10"/>
      <c r="Y338" s="10">
        <v>100</v>
      </c>
      <c r="Z338" s="6" t="s">
        <v>707</v>
      </c>
    </row>
    <row r="339" spans="1:26" ht="12.75">
      <c r="A339">
        <v>335</v>
      </c>
      <c r="B339" s="4" t="s">
        <v>99</v>
      </c>
      <c r="C339" s="4" t="s">
        <v>601</v>
      </c>
      <c r="D339" s="4" t="s">
        <v>130</v>
      </c>
      <c r="E339" s="4" t="s">
        <v>389</v>
      </c>
      <c r="F339" s="4">
        <v>0.5</v>
      </c>
      <c r="I339" s="10" t="s">
        <v>144</v>
      </c>
      <c r="K339" s="4">
        <v>-10.97</v>
      </c>
      <c r="L339" s="4">
        <f>2*5.853</f>
        <v>11.706</v>
      </c>
      <c r="M339" s="4">
        <v>26727</v>
      </c>
      <c r="N339" s="4">
        <f>2*8444.7</f>
        <v>16889.4</v>
      </c>
      <c r="O339" s="10">
        <v>62.37</v>
      </c>
      <c r="P339" s="10">
        <v>0.48</v>
      </c>
      <c r="Q339" s="10">
        <v>18.61</v>
      </c>
      <c r="R339" s="10">
        <v>3.68</v>
      </c>
      <c r="S339" s="10"/>
      <c r="T339" s="10">
        <v>0.24</v>
      </c>
      <c r="U339" s="10">
        <v>1.73</v>
      </c>
      <c r="V339" s="10">
        <v>5.43</v>
      </c>
      <c r="W339" s="10">
        <v>7.25</v>
      </c>
      <c r="X339" s="10"/>
      <c r="Y339" s="10">
        <v>99.79</v>
      </c>
      <c r="Z339" s="4" t="s">
        <v>391</v>
      </c>
    </row>
    <row r="340" spans="1:26" ht="12.75">
      <c r="A340">
        <v>336</v>
      </c>
      <c r="B340" s="4" t="s">
        <v>113</v>
      </c>
      <c r="C340" s="4" t="s">
        <v>601</v>
      </c>
      <c r="D340" s="4" t="s">
        <v>83</v>
      </c>
      <c r="E340" s="4" t="s">
        <v>141</v>
      </c>
      <c r="F340" s="4">
        <v>0.0001</v>
      </c>
      <c r="G340" s="4">
        <v>4.3</v>
      </c>
      <c r="K340" s="4">
        <v>-9.28</v>
      </c>
      <c r="L340" s="4">
        <f>2*1.8035</f>
        <v>3.607</v>
      </c>
      <c r="M340" s="4">
        <v>29874</v>
      </c>
      <c r="N340" s="4">
        <f>2*2882</f>
        <v>5764</v>
      </c>
      <c r="O340" s="10">
        <v>69</v>
      </c>
      <c r="P340" s="10">
        <v>1.02</v>
      </c>
      <c r="Q340" s="10">
        <v>13.11</v>
      </c>
      <c r="R340" s="10">
        <v>5.3</v>
      </c>
      <c r="S340" s="10">
        <v>0.13</v>
      </c>
      <c r="T340" s="10">
        <v>1</v>
      </c>
      <c r="U340" s="10">
        <v>2.7</v>
      </c>
      <c r="V340" s="10">
        <v>4.21</v>
      </c>
      <c r="W340" s="10">
        <v>2.72</v>
      </c>
      <c r="X340" s="10">
        <v>0.24</v>
      </c>
      <c r="Y340" s="10">
        <v>99.43</v>
      </c>
      <c r="Z340" s="4" t="s">
        <v>531</v>
      </c>
    </row>
    <row r="341" spans="1:26" ht="12.75">
      <c r="A341">
        <v>337</v>
      </c>
      <c r="B341" s="4" t="s">
        <v>114</v>
      </c>
      <c r="C341" s="4" t="s">
        <v>601</v>
      </c>
      <c r="D341" s="4" t="s">
        <v>83</v>
      </c>
      <c r="E341" s="4" t="s">
        <v>718</v>
      </c>
      <c r="F341" s="4">
        <v>0.0001</v>
      </c>
      <c r="G341" s="4">
        <v>4.3</v>
      </c>
      <c r="K341" s="4">
        <v>3.41</v>
      </c>
      <c r="L341" s="4">
        <f>2*4.53</f>
        <v>9.06</v>
      </c>
      <c r="M341" s="4">
        <v>50446</v>
      </c>
      <c r="N341" s="4">
        <f>2*6891.6</f>
        <v>13783.2</v>
      </c>
      <c r="O341" s="10">
        <v>69.2</v>
      </c>
      <c r="P341" s="10">
        <v>0.44</v>
      </c>
      <c r="Q341" s="10">
        <v>10.75</v>
      </c>
      <c r="R341" s="10">
        <v>8.5</v>
      </c>
      <c r="S341" s="10">
        <v>0.3</v>
      </c>
      <c r="T341" s="10">
        <v>0.11</v>
      </c>
      <c r="U341" s="10">
        <v>0.56</v>
      </c>
      <c r="V341" s="10">
        <v>6.32</v>
      </c>
      <c r="W341" s="10">
        <v>4.14</v>
      </c>
      <c r="X341" s="10">
        <v>0.02</v>
      </c>
      <c r="Y341" s="10">
        <v>100.34</v>
      </c>
      <c r="Z341" s="4" t="s">
        <v>531</v>
      </c>
    </row>
    <row r="342" spans="1:26" ht="12.75">
      <c r="A342">
        <v>338</v>
      </c>
      <c r="B342" s="4" t="s">
        <v>126</v>
      </c>
      <c r="C342" s="4" t="s">
        <v>601</v>
      </c>
      <c r="D342" s="4" t="s">
        <v>83</v>
      </c>
      <c r="E342" s="4" t="s">
        <v>140</v>
      </c>
      <c r="F342" s="4" t="s">
        <v>224</v>
      </c>
      <c r="G342" s="4" t="s">
        <v>223</v>
      </c>
      <c r="I342" s="10">
        <v>0.11</v>
      </c>
      <c r="K342" s="4">
        <v>-4.39</v>
      </c>
      <c r="L342" s="4">
        <f>2*1.9727</f>
        <v>3.9454</v>
      </c>
      <c r="M342" s="4">
        <v>37590</v>
      </c>
      <c r="N342" s="4">
        <f>2*2226</f>
        <v>4452</v>
      </c>
      <c r="O342" s="10">
        <v>76.87</v>
      </c>
      <c r="P342" s="10">
        <v>0.07</v>
      </c>
      <c r="Q342" s="10">
        <v>12.2</v>
      </c>
      <c r="R342" s="10">
        <v>0.94</v>
      </c>
      <c r="S342" s="10">
        <v>0.05</v>
      </c>
      <c r="T342" s="10">
        <v>0.05</v>
      </c>
      <c r="U342" s="10">
        <v>0.3</v>
      </c>
      <c r="V342" s="10">
        <v>4.38</v>
      </c>
      <c r="W342" s="10">
        <v>4.4</v>
      </c>
      <c r="X342" s="10"/>
      <c r="Y342" s="10">
        <f>SUM(O342:X342)</f>
        <v>99.25999999999999</v>
      </c>
      <c r="Z342" s="6" t="s">
        <v>620</v>
      </c>
    </row>
    <row r="343" spans="1:26" ht="12.75">
      <c r="A343">
        <v>339</v>
      </c>
      <c r="R343" s="10"/>
      <c r="W343" s="10"/>
      <c r="Z343" s="4"/>
    </row>
    <row r="344" spans="1:27" ht="12.75">
      <c r="A344">
        <v>340</v>
      </c>
      <c r="B344" s="4" t="s">
        <v>162</v>
      </c>
      <c r="C344" s="4" t="s">
        <v>383</v>
      </c>
      <c r="D344" s="4" t="s">
        <v>83</v>
      </c>
      <c r="E344" s="4" t="s">
        <v>222</v>
      </c>
      <c r="F344" s="4">
        <v>0.0001</v>
      </c>
      <c r="K344" s="4">
        <v>-14.21</v>
      </c>
      <c r="L344" s="4">
        <f>2*1.95</f>
        <v>3.9</v>
      </c>
      <c r="M344" s="4">
        <v>16799</v>
      </c>
      <c r="N344" s="4">
        <f>2*3133.56</f>
        <v>6267.12</v>
      </c>
      <c r="O344" s="10">
        <v>49.68</v>
      </c>
      <c r="P344" s="10">
        <v>2.59</v>
      </c>
      <c r="Q344" s="10">
        <v>12.7</v>
      </c>
      <c r="R344" s="10">
        <v>11.05</v>
      </c>
      <c r="S344" s="10">
        <v>0.17</v>
      </c>
      <c r="T344" s="10">
        <v>9.46</v>
      </c>
      <c r="U344" s="10">
        <v>10.79</v>
      </c>
      <c r="V344" s="10">
        <v>2.31</v>
      </c>
      <c r="W344" s="10">
        <v>0.48</v>
      </c>
      <c r="X344" s="10"/>
      <c r="Y344" s="9">
        <f>SUM(O344:X344)</f>
        <v>99.23</v>
      </c>
      <c r="Z344" s="6" t="s">
        <v>541</v>
      </c>
      <c r="AA344" s="2"/>
    </row>
    <row r="345" spans="1:26" ht="12.75">
      <c r="A345">
        <v>341</v>
      </c>
      <c r="B345" s="4" t="s">
        <v>168</v>
      </c>
      <c r="C345" s="4" t="s">
        <v>642</v>
      </c>
      <c r="D345" s="4" t="s">
        <v>130</v>
      </c>
      <c r="E345" s="4" t="s">
        <v>606</v>
      </c>
      <c r="F345" s="4">
        <v>1.5</v>
      </c>
      <c r="K345" s="4">
        <v>-2.08</v>
      </c>
      <c r="L345" s="4">
        <f>2*0.72868</f>
        <v>1.45736</v>
      </c>
      <c r="M345" s="4">
        <f>42750</f>
        <v>42750</v>
      </c>
      <c r="N345" s="4">
        <f>2*1204.4</f>
        <v>2408.8</v>
      </c>
      <c r="O345" s="4">
        <v>59.45</v>
      </c>
      <c r="Q345" s="4">
        <v>25.22</v>
      </c>
      <c r="R345" s="10"/>
      <c r="V345" s="4">
        <v>15.33</v>
      </c>
      <c r="W345" s="10"/>
      <c r="Y345" s="4">
        <f>SUM(O345:X345)</f>
        <v>100</v>
      </c>
      <c r="Z345" s="4" t="s">
        <v>502</v>
      </c>
    </row>
    <row r="346" spans="1:26" ht="12.75">
      <c r="A346">
        <v>342</v>
      </c>
      <c r="B346" s="4" t="s">
        <v>173</v>
      </c>
      <c r="C346" s="4" t="s">
        <v>642</v>
      </c>
      <c r="D346" s="4" t="s">
        <v>130</v>
      </c>
      <c r="E346" s="4" t="s">
        <v>660</v>
      </c>
      <c r="F346" s="4">
        <v>0.5</v>
      </c>
      <c r="I346" s="10" t="s">
        <v>600</v>
      </c>
      <c r="K346" s="4">
        <v>-5.86</v>
      </c>
      <c r="L346" s="4">
        <f>2*2.87</f>
        <v>5.74</v>
      </c>
      <c r="M346" s="4">
        <v>33949</v>
      </c>
      <c r="N346" s="4">
        <f>2*4171</f>
        <v>8342</v>
      </c>
      <c r="O346" s="4">
        <v>59.8</v>
      </c>
      <c r="P346" s="4">
        <v>0.78</v>
      </c>
      <c r="Q346" s="4">
        <v>19.52</v>
      </c>
      <c r="R346" s="10">
        <v>2.95</v>
      </c>
      <c r="T346" s="4">
        <v>0.66</v>
      </c>
      <c r="U346" s="4">
        <v>3.86</v>
      </c>
      <c r="V346" s="4">
        <v>5.5</v>
      </c>
      <c r="W346" s="10">
        <v>7.31</v>
      </c>
      <c r="Y346" s="4">
        <v>100.38</v>
      </c>
      <c r="Z346" s="4" t="s">
        <v>391</v>
      </c>
    </row>
    <row r="347" spans="1:26" ht="12.75">
      <c r="A347">
        <v>343</v>
      </c>
      <c r="B347" s="4" t="s">
        <v>174</v>
      </c>
      <c r="C347" s="4" t="s">
        <v>642</v>
      </c>
      <c r="D347" s="4" t="s">
        <v>130</v>
      </c>
      <c r="E347" s="4" t="s">
        <v>641</v>
      </c>
      <c r="F347" s="4">
        <v>0.5</v>
      </c>
      <c r="I347" s="10" t="s">
        <v>700</v>
      </c>
      <c r="K347" s="4">
        <v>-5.91</v>
      </c>
      <c r="L347" s="4">
        <f>2*1.607</f>
        <v>3.214</v>
      </c>
      <c r="M347" s="4">
        <v>30248</v>
      </c>
      <c r="N347" s="4">
        <f>2*2299</f>
        <v>4598</v>
      </c>
      <c r="O347" s="4">
        <v>59.8</v>
      </c>
      <c r="P347" s="4">
        <v>0.78</v>
      </c>
      <c r="Q347" s="4">
        <v>19.52</v>
      </c>
      <c r="R347" s="10">
        <v>2.95</v>
      </c>
      <c r="T347" s="4">
        <v>0.66</v>
      </c>
      <c r="U347" s="4">
        <v>3.86</v>
      </c>
      <c r="V347" s="4">
        <v>5.5</v>
      </c>
      <c r="W347" s="10">
        <v>7.31</v>
      </c>
      <c r="Y347" s="4">
        <v>100.38</v>
      </c>
      <c r="Z347" s="4" t="s">
        <v>391</v>
      </c>
    </row>
    <row r="348" spans="1:26" ht="12.75">
      <c r="A348">
        <v>344</v>
      </c>
      <c r="B348" s="4" t="s">
        <v>176</v>
      </c>
      <c r="C348" s="4" t="s">
        <v>642</v>
      </c>
      <c r="D348" s="4" t="s">
        <v>130</v>
      </c>
      <c r="E348" s="4" t="s">
        <v>522</v>
      </c>
      <c r="F348" s="4">
        <v>0.5</v>
      </c>
      <c r="I348" s="10" t="s">
        <v>387</v>
      </c>
      <c r="K348" s="4">
        <v>-11.99</v>
      </c>
      <c r="L348" s="4">
        <f>2*0.50229</f>
        <v>1.00458</v>
      </c>
      <c r="M348" s="4">
        <v>19867</v>
      </c>
      <c r="N348" s="4">
        <f>2*760</f>
        <v>1520</v>
      </c>
      <c r="O348" s="4">
        <v>62.09</v>
      </c>
      <c r="Q348" s="4">
        <v>19.47</v>
      </c>
      <c r="R348" s="10"/>
      <c r="T348" s="4">
        <v>2.53</v>
      </c>
      <c r="U348" s="4">
        <v>10.64</v>
      </c>
      <c r="V348" s="4">
        <v>4.25</v>
      </c>
      <c r="W348" s="10">
        <v>1.02</v>
      </c>
      <c r="Y348" s="4">
        <v>100</v>
      </c>
      <c r="Z348" s="14" t="s">
        <v>356</v>
      </c>
    </row>
    <row r="349" spans="1:26" ht="12.75">
      <c r="A349">
        <v>345</v>
      </c>
      <c r="B349" s="4" t="s">
        <v>99</v>
      </c>
      <c r="C349" s="4" t="s">
        <v>642</v>
      </c>
      <c r="D349" s="4" t="s">
        <v>130</v>
      </c>
      <c r="E349" s="4" t="s">
        <v>673</v>
      </c>
      <c r="F349" s="4">
        <v>0.5</v>
      </c>
      <c r="I349" s="10" t="s">
        <v>558</v>
      </c>
      <c r="K349" s="4">
        <v>-15.04</v>
      </c>
      <c r="L349" s="4">
        <f>2*0.7532</f>
        <v>1.5064</v>
      </c>
      <c r="M349" s="4">
        <v>23008</v>
      </c>
      <c r="N349" s="4">
        <f>2*1086.65</f>
        <v>2173.3</v>
      </c>
      <c r="O349" s="4">
        <v>62.37</v>
      </c>
      <c r="P349" s="4">
        <v>0.48</v>
      </c>
      <c r="Q349" s="4">
        <v>18.61</v>
      </c>
      <c r="R349" s="10">
        <v>3.68</v>
      </c>
      <c r="T349" s="4">
        <v>0.24</v>
      </c>
      <c r="U349" s="4">
        <v>1.73</v>
      </c>
      <c r="V349" s="4">
        <v>5.43</v>
      </c>
      <c r="W349" s="10">
        <v>7.25</v>
      </c>
      <c r="Y349" s="4">
        <v>99.79</v>
      </c>
      <c r="Z349" s="4" t="s">
        <v>391</v>
      </c>
    </row>
    <row r="350" spans="1:26" ht="12.75">
      <c r="A350">
        <v>346</v>
      </c>
      <c r="B350" s="4" t="s">
        <v>23</v>
      </c>
      <c r="C350" s="4" t="s">
        <v>642</v>
      </c>
      <c r="D350" s="4" t="s">
        <v>25</v>
      </c>
      <c r="E350" s="4" t="s">
        <v>438</v>
      </c>
      <c r="F350" s="4">
        <v>0.5</v>
      </c>
      <c r="I350" s="10" t="s">
        <v>26</v>
      </c>
      <c r="K350" s="8" t="s">
        <v>13</v>
      </c>
      <c r="R350" s="10"/>
      <c r="W350" s="10"/>
      <c r="Z350" s="4" t="s">
        <v>51</v>
      </c>
    </row>
    <row r="351" spans="1:26" ht="12.75">
      <c r="A351">
        <v>347</v>
      </c>
      <c r="B351" s="4" t="s">
        <v>27</v>
      </c>
      <c r="C351" s="4" t="s">
        <v>642</v>
      </c>
      <c r="D351" s="4" t="s">
        <v>25</v>
      </c>
      <c r="E351" s="4" t="s">
        <v>438</v>
      </c>
      <c r="F351" s="4">
        <v>0.5</v>
      </c>
      <c r="I351" s="10" t="s">
        <v>28</v>
      </c>
      <c r="K351" s="8" t="s">
        <v>14</v>
      </c>
      <c r="R351" s="10"/>
      <c r="W351" s="10"/>
      <c r="Z351" s="4" t="s">
        <v>37</v>
      </c>
    </row>
    <row r="352" ht="12.75">
      <c r="A352">
        <v>348</v>
      </c>
    </row>
    <row r="353" spans="1:26" ht="12.75">
      <c r="A353">
        <v>349</v>
      </c>
      <c r="B353" s="4" t="s">
        <v>104</v>
      </c>
      <c r="C353" s="4" t="s">
        <v>635</v>
      </c>
      <c r="D353" s="4" t="s">
        <v>130</v>
      </c>
      <c r="E353" s="4" t="s">
        <v>241</v>
      </c>
      <c r="F353" s="4">
        <v>0.0001</v>
      </c>
      <c r="K353" s="4">
        <v>-6.04</v>
      </c>
      <c r="L353" s="4">
        <f>2*1.8359</f>
        <v>3.6718</v>
      </c>
      <c r="M353" s="4">
        <v>30629</v>
      </c>
      <c r="N353" s="4">
        <f>2*2265</f>
        <v>4530</v>
      </c>
      <c r="O353" s="4">
        <f>0.5*(66.6+65.7)</f>
        <v>66.15</v>
      </c>
      <c r="Q353" s="4">
        <f>0.5*(9.28+9.96)</f>
        <v>9.620000000000001</v>
      </c>
      <c r="R353" s="10"/>
      <c r="V353" s="4">
        <f>0.5*(20.47+20.71)</f>
        <v>20.59</v>
      </c>
      <c r="W353" s="10">
        <f>0.5*(3.65+3.63)</f>
        <v>3.6399999999999997</v>
      </c>
      <c r="Y353" s="4">
        <v>100</v>
      </c>
      <c r="Z353" s="4" t="s">
        <v>435</v>
      </c>
    </row>
    <row r="354" spans="1:26" ht="12.75">
      <c r="A354">
        <v>350</v>
      </c>
      <c r="B354" s="4" t="s">
        <v>128</v>
      </c>
      <c r="C354" s="4" t="s">
        <v>635</v>
      </c>
      <c r="D354" s="4" t="s">
        <v>130</v>
      </c>
      <c r="E354" s="4" t="s">
        <v>596</v>
      </c>
      <c r="F354" s="4">
        <v>0.0001</v>
      </c>
      <c r="K354" s="4">
        <v>-8.95</v>
      </c>
      <c r="L354" s="4">
        <f>2*0.6017</f>
        <v>1.2034</v>
      </c>
      <c r="M354" s="4">
        <v>38248</v>
      </c>
      <c r="N354" s="4">
        <f>2*973.9</f>
        <v>1947.8</v>
      </c>
      <c r="O354">
        <v>79.425</v>
      </c>
      <c r="P354"/>
      <c r="Q354">
        <v>11.64</v>
      </c>
      <c r="R354"/>
      <c r="S354"/>
      <c r="T354"/>
      <c r="U354"/>
      <c r="V354">
        <v>4.77</v>
      </c>
      <c r="W354">
        <v>4.165</v>
      </c>
      <c r="X354"/>
      <c r="Y354">
        <v>100</v>
      </c>
      <c r="Z354" t="s">
        <v>435</v>
      </c>
    </row>
    <row r="355" spans="1:26" ht="12.75">
      <c r="A355">
        <v>351</v>
      </c>
      <c r="B355" s="4" t="s">
        <v>129</v>
      </c>
      <c r="C355" s="4" t="s">
        <v>635</v>
      </c>
      <c r="D355" s="4" t="s">
        <v>130</v>
      </c>
      <c r="E355" s="4" t="s">
        <v>493</v>
      </c>
      <c r="F355" s="4">
        <v>1</v>
      </c>
      <c r="I355" s="10">
        <v>3.6</v>
      </c>
      <c r="K355" s="4">
        <v>-15.29</v>
      </c>
      <c r="L355" s="4" t="s">
        <v>256</v>
      </c>
      <c r="M355" s="4">
        <v>17641</v>
      </c>
      <c r="N355" s="4" t="s">
        <v>256</v>
      </c>
      <c r="O355">
        <v>79.425</v>
      </c>
      <c r="P355"/>
      <c r="Q355">
        <v>11.64</v>
      </c>
      <c r="R355"/>
      <c r="S355"/>
      <c r="T355"/>
      <c r="U355"/>
      <c r="V355">
        <v>4.77</v>
      </c>
      <c r="W355">
        <v>4.165</v>
      </c>
      <c r="X355"/>
      <c r="Y355">
        <v>100</v>
      </c>
      <c r="Z355" t="s">
        <v>435</v>
      </c>
    </row>
    <row r="356" spans="1:26" ht="12.75">
      <c r="A356">
        <v>352</v>
      </c>
      <c r="R356" s="10"/>
      <c r="W356" s="10"/>
      <c r="Z356" s="4"/>
    </row>
    <row r="357" spans="1:26" ht="12.75">
      <c r="A357">
        <v>353</v>
      </c>
      <c r="B357" s="4" t="s">
        <v>168</v>
      </c>
      <c r="C357" s="4" t="s">
        <v>354</v>
      </c>
      <c r="D357" s="4" t="s">
        <v>130</v>
      </c>
      <c r="E357" s="4" t="s">
        <v>650</v>
      </c>
      <c r="F357" s="4">
        <v>1.5</v>
      </c>
      <c r="K357" s="4">
        <v>-1.93</v>
      </c>
      <c r="L357" s="4">
        <f>2*1.03</f>
        <v>2.06</v>
      </c>
      <c r="M357" s="4">
        <v>43180</v>
      </c>
      <c r="N357" s="4">
        <f>2*1702</f>
        <v>3404</v>
      </c>
      <c r="O357" s="4">
        <v>59.45</v>
      </c>
      <c r="Q357" s="4">
        <v>25.22</v>
      </c>
      <c r="R357" s="10"/>
      <c r="V357" s="4">
        <v>15.33</v>
      </c>
      <c r="W357" s="10"/>
      <c r="Y357" s="4">
        <f>SUM(O357:X357)</f>
        <v>100</v>
      </c>
      <c r="Z357" s="4" t="s">
        <v>502</v>
      </c>
    </row>
    <row r="358" spans="1:26" ht="12.75">
      <c r="A358">
        <v>354</v>
      </c>
      <c r="B358" s="4" t="s">
        <v>168</v>
      </c>
      <c r="C358" s="4" t="s">
        <v>354</v>
      </c>
      <c r="D358" s="4" t="s">
        <v>130</v>
      </c>
      <c r="E358" s="4" t="s">
        <v>650</v>
      </c>
      <c r="F358" s="4" t="s">
        <v>15</v>
      </c>
      <c r="K358" s="8" t="s">
        <v>16</v>
      </c>
      <c r="R358" s="10"/>
      <c r="W358" s="10"/>
      <c r="Z358" s="4" t="s">
        <v>37</v>
      </c>
    </row>
    <row r="359" spans="1:26" ht="12.75">
      <c r="A359">
        <v>355</v>
      </c>
      <c r="R359" s="10"/>
      <c r="W359" s="10"/>
      <c r="Z359" s="4"/>
    </row>
    <row r="360" spans="1:26" ht="12.75">
      <c r="A360">
        <v>356</v>
      </c>
      <c r="B360" s="4" t="s">
        <v>168</v>
      </c>
      <c r="C360" s="4" t="s">
        <v>456</v>
      </c>
      <c r="D360" s="4" t="s">
        <v>130</v>
      </c>
      <c r="E360" s="4" t="s">
        <v>650</v>
      </c>
      <c r="F360" s="4">
        <v>1.5</v>
      </c>
      <c r="K360" s="4">
        <v>-1.3</v>
      </c>
      <c r="L360" s="4">
        <f>2*1.2338</f>
        <v>2.4676</v>
      </c>
      <c r="M360" s="4">
        <v>44256</v>
      </c>
      <c r="N360" s="4">
        <f>2*1855.8</f>
        <v>3711.6</v>
      </c>
      <c r="O360" s="4">
        <v>59.45</v>
      </c>
      <c r="Q360" s="4">
        <v>25.22</v>
      </c>
      <c r="R360" s="10"/>
      <c r="V360" s="4">
        <v>15.33</v>
      </c>
      <c r="W360" s="10"/>
      <c r="Y360" s="4">
        <f>SUM(O360:X360)</f>
        <v>100</v>
      </c>
      <c r="Z360" s="4" t="s">
        <v>502</v>
      </c>
    </row>
    <row r="361" spans="1:26" ht="12.75">
      <c r="A361">
        <v>357</v>
      </c>
      <c r="B361" s="4" t="s">
        <v>168</v>
      </c>
      <c r="C361" s="4" t="s">
        <v>354</v>
      </c>
      <c r="D361" s="4" t="s">
        <v>130</v>
      </c>
      <c r="E361" s="4" t="s">
        <v>650</v>
      </c>
      <c r="F361" s="4" t="s">
        <v>15</v>
      </c>
      <c r="K361" s="8" t="s">
        <v>17</v>
      </c>
      <c r="R361" s="10"/>
      <c r="W361" s="10"/>
      <c r="Z361" s="4" t="s">
        <v>37</v>
      </c>
    </row>
    <row r="362" spans="1:26" ht="12.75">
      <c r="A362">
        <v>358</v>
      </c>
      <c r="B362" s="4" t="s">
        <v>176</v>
      </c>
      <c r="C362" s="4" t="s">
        <v>456</v>
      </c>
      <c r="D362" s="4" t="s">
        <v>130</v>
      </c>
      <c r="E362" s="4" t="s">
        <v>522</v>
      </c>
      <c r="F362" s="4">
        <v>0.5</v>
      </c>
      <c r="I362" s="10" t="s">
        <v>387</v>
      </c>
      <c r="K362" s="4">
        <v>-13.34</v>
      </c>
      <c r="L362" s="4">
        <f>2*0.95</f>
        <v>1.9</v>
      </c>
      <c r="M362" s="4">
        <v>17895</v>
      </c>
      <c r="N362" s="4">
        <f>2*1438</f>
        <v>2876</v>
      </c>
      <c r="O362" s="4">
        <v>62.09</v>
      </c>
      <c r="Q362" s="4">
        <v>19.47</v>
      </c>
      <c r="R362" s="10"/>
      <c r="T362" s="4">
        <v>2.53</v>
      </c>
      <c r="U362" s="4">
        <v>10.64</v>
      </c>
      <c r="V362" s="4">
        <v>4.25</v>
      </c>
      <c r="W362" s="10">
        <v>1.02</v>
      </c>
      <c r="Y362" s="4">
        <v>100</v>
      </c>
      <c r="Z362" s="14" t="s">
        <v>356</v>
      </c>
    </row>
    <row r="363" spans="1:23" ht="12.75">
      <c r="A363">
        <v>359</v>
      </c>
      <c r="R363" s="10"/>
      <c r="W363" s="10"/>
    </row>
    <row r="364" spans="1:26" ht="12.75">
      <c r="A364">
        <v>360</v>
      </c>
      <c r="B364" s="4" t="s">
        <v>154</v>
      </c>
      <c r="C364" s="4" t="s">
        <v>608</v>
      </c>
      <c r="D364" s="4" t="s">
        <v>66</v>
      </c>
      <c r="E364" s="4" t="s">
        <v>226</v>
      </c>
      <c r="F364" s="4">
        <v>0.0001</v>
      </c>
      <c r="K364" s="4">
        <v>-12.34</v>
      </c>
      <c r="L364" s="4">
        <v>6.06</v>
      </c>
      <c r="M364" s="4">
        <v>20310</v>
      </c>
      <c r="N364" s="4">
        <f>2*5164.6</f>
        <v>10329.2</v>
      </c>
      <c r="O364" s="4">
        <v>47.7</v>
      </c>
      <c r="Q364" s="4">
        <v>16</v>
      </c>
      <c r="R364" s="10"/>
      <c r="T364" s="4">
        <v>16.4</v>
      </c>
      <c r="U364" s="4">
        <v>19.2</v>
      </c>
      <c r="W364" s="10"/>
      <c r="Y364" s="4">
        <v>99.3</v>
      </c>
      <c r="Z364" s="4" t="s">
        <v>532</v>
      </c>
    </row>
    <row r="365" spans="1:26" ht="12.75">
      <c r="A365">
        <v>361</v>
      </c>
      <c r="B365" s="4" t="s">
        <v>168</v>
      </c>
      <c r="C365" s="4" t="s">
        <v>608</v>
      </c>
      <c r="D365" s="4" t="s">
        <v>130</v>
      </c>
      <c r="E365" s="4" t="s">
        <v>606</v>
      </c>
      <c r="F365" s="4">
        <v>1.5</v>
      </c>
      <c r="K365" s="4">
        <v>-1.71</v>
      </c>
      <c r="L365" s="4">
        <f>2*1.7756</f>
        <v>3.5512</v>
      </c>
      <c r="M365" s="4">
        <v>43717</v>
      </c>
      <c r="N365" s="4">
        <f>2*2934.85</f>
        <v>5869.7</v>
      </c>
      <c r="O365" s="4">
        <v>59.45</v>
      </c>
      <c r="Q365" s="4">
        <v>25.22</v>
      </c>
      <c r="R365" s="10"/>
      <c r="V365" s="4">
        <v>15.33</v>
      </c>
      <c r="W365" s="10"/>
      <c r="Y365" s="4">
        <f>SUM(O365:X365)</f>
        <v>100</v>
      </c>
      <c r="Z365" s="4" t="s">
        <v>502</v>
      </c>
    </row>
    <row r="366" spans="1:26" ht="12.75">
      <c r="A366">
        <v>362</v>
      </c>
      <c r="B366" s="4" t="s">
        <v>176</v>
      </c>
      <c r="C366" s="4" t="s">
        <v>608</v>
      </c>
      <c r="D366" s="4" t="s">
        <v>130</v>
      </c>
      <c r="E366" s="4" t="s">
        <v>522</v>
      </c>
      <c r="F366" s="4">
        <v>0.5</v>
      </c>
      <c r="I366" s="10" t="s">
        <v>387</v>
      </c>
      <c r="K366" s="4">
        <v>-10.69</v>
      </c>
      <c r="L366" s="4">
        <f>2*1.437</f>
        <v>2.874</v>
      </c>
      <c r="M366" s="4">
        <v>21840</v>
      </c>
      <c r="N366" s="4">
        <f>2*2174</f>
        <v>4348</v>
      </c>
      <c r="O366" s="4">
        <v>62.09</v>
      </c>
      <c r="Q366" s="4">
        <v>19.47</v>
      </c>
      <c r="R366" s="10"/>
      <c r="T366" s="4">
        <v>2.53</v>
      </c>
      <c r="U366" s="4">
        <v>10.64</v>
      </c>
      <c r="V366" s="4">
        <v>4.25</v>
      </c>
      <c r="W366" s="10">
        <v>1.02</v>
      </c>
      <c r="Y366" s="4">
        <v>100</v>
      </c>
      <c r="Z366" s="14" t="s">
        <v>356</v>
      </c>
    </row>
    <row r="367" spans="1:26" ht="12.75">
      <c r="A367">
        <v>363</v>
      </c>
      <c r="B367" s="4" t="s">
        <v>99</v>
      </c>
      <c r="C367" s="4" t="s">
        <v>608</v>
      </c>
      <c r="D367" s="4" t="s">
        <v>130</v>
      </c>
      <c r="E367" s="4" t="s">
        <v>673</v>
      </c>
      <c r="F367" s="4">
        <v>0.5</v>
      </c>
      <c r="I367" s="10" t="s">
        <v>558</v>
      </c>
      <c r="K367" s="4">
        <v>-15.68</v>
      </c>
      <c r="L367" s="4">
        <f>2*0.8503</f>
        <v>1.7006</v>
      </c>
      <c r="M367" s="4">
        <v>22478</v>
      </c>
      <c r="N367" s="4">
        <f>2*1226.74</f>
        <v>2453.48</v>
      </c>
      <c r="O367" s="4">
        <v>62.37</v>
      </c>
      <c r="P367" s="4">
        <v>0.48</v>
      </c>
      <c r="Q367" s="4">
        <v>18.61</v>
      </c>
      <c r="R367" s="10">
        <v>3.68</v>
      </c>
      <c r="T367" s="4">
        <v>0.24</v>
      </c>
      <c r="U367" s="4">
        <v>1.73</v>
      </c>
      <c r="V367" s="4">
        <v>5.43</v>
      </c>
      <c r="W367" s="10">
        <v>7.25</v>
      </c>
      <c r="Y367" s="4">
        <v>99.79</v>
      </c>
      <c r="Z367" s="4" t="s">
        <v>391</v>
      </c>
    </row>
    <row r="368" spans="1:26" ht="12.75">
      <c r="A368">
        <v>364</v>
      </c>
      <c r="B368" s="4" t="s">
        <v>173</v>
      </c>
      <c r="C368" s="4" t="s">
        <v>608</v>
      </c>
      <c r="D368" s="4" t="s">
        <v>130</v>
      </c>
      <c r="E368" s="4" t="s">
        <v>660</v>
      </c>
      <c r="F368" s="4">
        <v>0.5</v>
      </c>
      <c r="I368" s="10" t="s">
        <v>600</v>
      </c>
      <c r="K368" s="4">
        <v>-4.91</v>
      </c>
      <c r="L368" s="4">
        <f>2*2.1057</f>
        <v>4.2114</v>
      </c>
      <c r="M368" s="4">
        <v>35927</v>
      </c>
      <c r="N368" s="4">
        <f>2*3060.2</f>
        <v>6120.4</v>
      </c>
      <c r="O368" s="4">
        <v>59.8</v>
      </c>
      <c r="P368" s="4">
        <v>0.78</v>
      </c>
      <c r="Q368" s="4">
        <v>19.52</v>
      </c>
      <c r="R368" s="10">
        <v>2.95</v>
      </c>
      <c r="T368" s="4">
        <v>0.66</v>
      </c>
      <c r="U368" s="4">
        <v>3.86</v>
      </c>
      <c r="V368" s="4">
        <v>5.5</v>
      </c>
      <c r="W368" s="10">
        <v>7.31</v>
      </c>
      <c r="Y368" s="4">
        <v>100.38</v>
      </c>
      <c r="Z368" s="4" t="s">
        <v>391</v>
      </c>
    </row>
    <row r="369" spans="1:27" ht="12.75">
      <c r="A369">
        <v>365</v>
      </c>
      <c r="B369" s="4" t="s">
        <v>174</v>
      </c>
      <c r="C369" s="4" t="s">
        <v>608</v>
      </c>
      <c r="D369" s="4" t="s">
        <v>130</v>
      </c>
      <c r="E369" s="4" t="s">
        <v>641</v>
      </c>
      <c r="F369" s="4">
        <v>0.5</v>
      </c>
      <c r="I369" s="10" t="s">
        <v>700</v>
      </c>
      <c r="K369" s="4">
        <v>-7.24</v>
      </c>
      <c r="L369" s="4">
        <f>2*1.7356</f>
        <v>3.4712</v>
      </c>
      <c r="M369" s="4">
        <v>28635</v>
      </c>
      <c r="N369" s="4">
        <f>2*2483.286</f>
        <v>4966.572</v>
      </c>
      <c r="O369" s="4">
        <v>59.8</v>
      </c>
      <c r="P369" s="4">
        <v>0.78</v>
      </c>
      <c r="Q369" s="4">
        <v>19.52</v>
      </c>
      <c r="R369" s="10">
        <v>2.95</v>
      </c>
      <c r="T369" s="4">
        <v>0.66</v>
      </c>
      <c r="U369" s="4">
        <v>3.86</v>
      </c>
      <c r="V369" s="4">
        <v>5.5</v>
      </c>
      <c r="W369" s="10">
        <v>7.31</v>
      </c>
      <c r="Y369" s="4">
        <v>100.38</v>
      </c>
      <c r="Z369" s="4" t="s">
        <v>391</v>
      </c>
      <c r="AA369" s="2"/>
    </row>
    <row r="370" spans="1:26" ht="12.75">
      <c r="A370">
        <v>366</v>
      </c>
      <c r="B370" s="4" t="s">
        <v>23</v>
      </c>
      <c r="C370" s="4" t="s">
        <v>608</v>
      </c>
      <c r="D370" s="4" t="s">
        <v>25</v>
      </c>
      <c r="E370" s="4" t="s">
        <v>438</v>
      </c>
      <c r="F370" s="4">
        <v>0.5</v>
      </c>
      <c r="I370" s="10" t="s">
        <v>26</v>
      </c>
      <c r="K370" s="8" t="s">
        <v>18</v>
      </c>
      <c r="R370" s="10"/>
      <c r="W370" s="10"/>
      <c r="Z370" s="4" t="s">
        <v>51</v>
      </c>
    </row>
    <row r="371" spans="1:26" ht="12.75">
      <c r="A371">
        <v>367</v>
      </c>
      <c r="B371" s="4" t="s">
        <v>27</v>
      </c>
      <c r="C371" s="4" t="s">
        <v>608</v>
      </c>
      <c r="D371" s="4" t="s">
        <v>25</v>
      </c>
      <c r="E371" s="4" t="s">
        <v>438</v>
      </c>
      <c r="F371" s="4">
        <v>0.5</v>
      </c>
      <c r="I371" s="10" t="s">
        <v>28</v>
      </c>
      <c r="K371" s="8" t="s">
        <v>0</v>
      </c>
      <c r="R371" s="10"/>
      <c r="W371" s="10"/>
      <c r="Z371" s="4" t="s">
        <v>37</v>
      </c>
    </row>
    <row r="372" ht="12.75">
      <c r="A372">
        <v>368</v>
      </c>
    </row>
    <row r="373" spans="1:26" ht="12.75">
      <c r="A373">
        <v>369</v>
      </c>
      <c r="B373" s="4" t="s">
        <v>168</v>
      </c>
      <c r="C373" s="4" t="s">
        <v>407</v>
      </c>
      <c r="D373" s="4" t="s">
        <v>130</v>
      </c>
      <c r="E373" s="4" t="s">
        <v>650</v>
      </c>
      <c r="F373" s="4">
        <v>1.5</v>
      </c>
      <c r="K373" s="4">
        <v>-0.95</v>
      </c>
      <c r="L373" s="4">
        <f>2*1.89</f>
        <v>3.78</v>
      </c>
      <c r="M373" s="4">
        <v>45072</v>
      </c>
      <c r="N373" s="4">
        <f>2*3124.36</f>
        <v>6248.72</v>
      </c>
      <c r="O373" s="4">
        <v>59.45</v>
      </c>
      <c r="Q373" s="4">
        <v>25.22</v>
      </c>
      <c r="R373" s="10"/>
      <c r="V373" s="4">
        <v>15.33</v>
      </c>
      <c r="W373" s="10"/>
      <c r="Y373" s="4">
        <f>SUM(O373:X373)</f>
        <v>100</v>
      </c>
      <c r="Z373" s="4" t="s">
        <v>502</v>
      </c>
    </row>
    <row r="374" spans="1:26" ht="12.75">
      <c r="A374">
        <v>370</v>
      </c>
      <c r="B374" s="4" t="s">
        <v>104</v>
      </c>
      <c r="C374" s="4" t="s">
        <v>407</v>
      </c>
      <c r="D374" s="4" t="s">
        <v>130</v>
      </c>
      <c r="E374" s="4" t="s">
        <v>241</v>
      </c>
      <c r="F374" s="4">
        <v>0.0001</v>
      </c>
      <c r="K374" s="4">
        <v>-6.55</v>
      </c>
      <c r="L374" s="4" t="s">
        <v>256</v>
      </c>
      <c r="M374" s="4">
        <v>30146</v>
      </c>
      <c r="N374" s="4" t="s">
        <v>256</v>
      </c>
      <c r="O374" s="4">
        <f>0.5*(66.6+65.7)</f>
        <v>66.15</v>
      </c>
      <c r="Q374" s="4">
        <f>0.5*(9.28+9.96)</f>
        <v>9.620000000000001</v>
      </c>
      <c r="R374" s="10"/>
      <c r="V374" s="4">
        <f>0.5*(20.47+20.71)</f>
        <v>20.59</v>
      </c>
      <c r="W374" s="10">
        <f>0.5*(3.65+3.63)</f>
        <v>3.6399999999999997</v>
      </c>
      <c r="Y374" s="4">
        <v>100</v>
      </c>
      <c r="Z374" s="4" t="s">
        <v>435</v>
      </c>
    </row>
    <row r="375" spans="1:26" ht="12.75">
      <c r="A375">
        <v>371</v>
      </c>
      <c r="B375" s="4" t="s">
        <v>128</v>
      </c>
      <c r="C375" s="4" t="s">
        <v>407</v>
      </c>
      <c r="D375" s="4" t="s">
        <v>130</v>
      </c>
      <c r="E375" s="4" t="s">
        <v>596</v>
      </c>
      <c r="F375" s="4">
        <v>0.0001</v>
      </c>
      <c r="K375" s="4">
        <v>-8.07</v>
      </c>
      <c r="L375" s="4">
        <v>3.22</v>
      </c>
      <c r="M375" s="4">
        <v>39949</v>
      </c>
      <c r="N375" s="4">
        <f>2*2603</f>
        <v>5206</v>
      </c>
      <c r="O375">
        <v>79.425</v>
      </c>
      <c r="P375"/>
      <c r="Q375">
        <v>11.64</v>
      </c>
      <c r="R375"/>
      <c r="S375"/>
      <c r="T375"/>
      <c r="U375"/>
      <c r="V375">
        <v>4.77</v>
      </c>
      <c r="W375">
        <v>4.165</v>
      </c>
      <c r="X375"/>
      <c r="Y375">
        <v>100</v>
      </c>
      <c r="Z375" t="s">
        <v>435</v>
      </c>
    </row>
    <row r="376" spans="1:26" ht="12.75">
      <c r="A376">
        <v>372</v>
      </c>
      <c r="B376" s="4" t="s">
        <v>129</v>
      </c>
      <c r="C376" s="4" t="s">
        <v>407</v>
      </c>
      <c r="D376" s="4" t="s">
        <v>130</v>
      </c>
      <c r="E376" s="4" t="s">
        <v>493</v>
      </c>
      <c r="F376" s="4">
        <v>1</v>
      </c>
      <c r="I376" s="10">
        <v>3.6</v>
      </c>
      <c r="K376" s="4">
        <v>-15.48</v>
      </c>
      <c r="L376" s="4" t="s">
        <v>256</v>
      </c>
      <c r="M376" s="4">
        <v>17189</v>
      </c>
      <c r="N376" s="4" t="s">
        <v>256</v>
      </c>
      <c r="O376">
        <v>79.425</v>
      </c>
      <c r="P376"/>
      <c r="Q376">
        <v>11.64</v>
      </c>
      <c r="R376"/>
      <c r="S376"/>
      <c r="T376"/>
      <c r="U376"/>
      <c r="V376">
        <v>4.77</v>
      </c>
      <c r="W376">
        <v>4.165</v>
      </c>
      <c r="X376"/>
      <c r="Y376">
        <v>100</v>
      </c>
      <c r="Z376" t="s">
        <v>435</v>
      </c>
    </row>
    <row r="377" spans="1:26" ht="12.75">
      <c r="A377">
        <v>373</v>
      </c>
      <c r="R377" s="10"/>
      <c r="W377" s="10"/>
      <c r="Z377" s="4"/>
    </row>
    <row r="378" spans="1:26" ht="12.75">
      <c r="A378">
        <v>374</v>
      </c>
      <c r="B378" s="4" t="s">
        <v>154</v>
      </c>
      <c r="C378" s="4" t="s">
        <v>366</v>
      </c>
      <c r="D378" s="4" t="s">
        <v>66</v>
      </c>
      <c r="E378" s="4" t="s">
        <v>226</v>
      </c>
      <c r="F378" s="4">
        <v>0.0001</v>
      </c>
      <c r="K378" s="4">
        <v>-10.08</v>
      </c>
      <c r="L378" s="4">
        <f>2*1.115</f>
        <v>2.23</v>
      </c>
      <c r="M378" s="4">
        <v>24600</v>
      </c>
      <c r="N378" s="4">
        <f>2*1900</f>
        <v>3800</v>
      </c>
      <c r="O378" s="4">
        <v>47.7</v>
      </c>
      <c r="Q378" s="4">
        <v>16</v>
      </c>
      <c r="R378" s="10"/>
      <c r="T378" s="4">
        <v>16.4</v>
      </c>
      <c r="U378" s="4">
        <v>19.2</v>
      </c>
      <c r="W378" s="10"/>
      <c r="Y378" s="4">
        <v>99.3</v>
      </c>
      <c r="Z378" s="4" t="s">
        <v>532</v>
      </c>
    </row>
    <row r="379" spans="1:26" ht="12.75">
      <c r="A379">
        <v>375</v>
      </c>
      <c r="B379" s="6" t="s">
        <v>73</v>
      </c>
      <c r="C379" s="6" t="s">
        <v>71</v>
      </c>
      <c r="D379" s="6" t="s">
        <v>74</v>
      </c>
      <c r="E379" s="6"/>
      <c r="F379" s="6"/>
      <c r="G379" s="6"/>
      <c r="H379" s="6"/>
      <c r="I379" s="13"/>
      <c r="J379" s="6"/>
      <c r="K379" s="6">
        <v>-10.03</v>
      </c>
      <c r="L379" s="6">
        <f>2*1.984</f>
        <v>3.968</v>
      </c>
      <c r="M379" s="6">
        <v>22303</v>
      </c>
      <c r="N379" s="6">
        <f>2*3312.4</f>
        <v>6624.8</v>
      </c>
      <c r="O379" s="6">
        <v>50.23</v>
      </c>
      <c r="P379" s="6">
        <v>1.94</v>
      </c>
      <c r="Q379" s="6">
        <v>13.61</v>
      </c>
      <c r="R379" s="13">
        <v>12.06</v>
      </c>
      <c r="S379" s="6">
        <v>0.22</v>
      </c>
      <c r="T379" s="6">
        <v>7.05</v>
      </c>
      <c r="U379" s="6">
        <v>10.75</v>
      </c>
      <c r="V379" s="6">
        <v>2.73</v>
      </c>
      <c r="W379" s="13">
        <v>0.17</v>
      </c>
      <c r="X379" s="6">
        <v>0.1</v>
      </c>
      <c r="Y379" s="6">
        <v>98.86</v>
      </c>
      <c r="Z379" s="6" t="s">
        <v>534</v>
      </c>
    </row>
    <row r="380" spans="1:26" ht="12.75">
      <c r="A380">
        <v>376</v>
      </c>
      <c r="B380" s="6" t="s">
        <v>75</v>
      </c>
      <c r="C380" s="6" t="s">
        <v>71</v>
      </c>
      <c r="D380" s="6" t="s">
        <v>74</v>
      </c>
      <c r="E380" s="6"/>
      <c r="F380" s="6"/>
      <c r="G380" s="6"/>
      <c r="H380" s="6"/>
      <c r="I380" s="13"/>
      <c r="J380" s="6"/>
      <c r="K380" s="6">
        <v>-8.92</v>
      </c>
      <c r="L380" s="6">
        <f>2*2.6329</f>
        <v>5.2658</v>
      </c>
      <c r="M380" s="6">
        <v>25515</v>
      </c>
      <c r="N380" s="6">
        <f>2*4312</f>
        <v>8624</v>
      </c>
      <c r="O380" s="6">
        <v>50.23</v>
      </c>
      <c r="P380" s="6">
        <v>1.94</v>
      </c>
      <c r="Q380" s="6">
        <v>13.61</v>
      </c>
      <c r="R380" s="13">
        <v>12.06</v>
      </c>
      <c r="S380" s="6">
        <v>0.22</v>
      </c>
      <c r="T380" s="6">
        <v>7.05</v>
      </c>
      <c r="U380" s="6">
        <v>10.75</v>
      </c>
      <c r="V380" s="6">
        <v>2.73</v>
      </c>
      <c r="W380" s="13">
        <v>0.17</v>
      </c>
      <c r="X380" s="6">
        <v>0.1</v>
      </c>
      <c r="Y380" s="6">
        <v>98.86</v>
      </c>
      <c r="Z380" s="6" t="s">
        <v>76</v>
      </c>
    </row>
    <row r="381" spans="1:26" ht="12.75">
      <c r="A381">
        <v>377</v>
      </c>
      <c r="B381" s="4" t="s">
        <v>104</v>
      </c>
      <c r="C381" s="4" t="s">
        <v>366</v>
      </c>
      <c r="D381" s="4" t="s">
        <v>130</v>
      </c>
      <c r="E381" s="4" t="s">
        <v>241</v>
      </c>
      <c r="F381" s="4">
        <v>0.0001</v>
      </c>
      <c r="K381" s="4">
        <v>-13.68</v>
      </c>
      <c r="L381" s="4">
        <f>2*1.9828</f>
        <v>3.9656</v>
      </c>
      <c r="M381" s="4">
        <v>20894</v>
      </c>
      <c r="N381" s="4">
        <f>2*2446.4</f>
        <v>4892.8</v>
      </c>
      <c r="O381" s="4">
        <f>0.5*(66.6+65.7)</f>
        <v>66.15</v>
      </c>
      <c r="Q381" s="4">
        <f>0.5*(9.28+9.96)</f>
        <v>9.620000000000001</v>
      </c>
      <c r="R381" s="10"/>
      <c r="V381" s="4">
        <f>0.5*(20.47+20.71)</f>
        <v>20.59</v>
      </c>
      <c r="W381" s="10">
        <f>0.5*(3.65+3.63)</f>
        <v>3.6399999999999997</v>
      </c>
      <c r="Y381" s="4">
        <v>100</v>
      </c>
      <c r="Z381" s="4" t="s">
        <v>435</v>
      </c>
    </row>
    <row r="382" spans="1:26" ht="12.75">
      <c r="A382">
        <v>378</v>
      </c>
      <c r="B382" s="4" t="s">
        <v>607</v>
      </c>
      <c r="C382" s="4" t="s">
        <v>366</v>
      </c>
      <c r="D382" s="4" t="s">
        <v>279</v>
      </c>
      <c r="I382" s="10" t="s">
        <v>280</v>
      </c>
      <c r="K382" s="4">
        <v>-8.21</v>
      </c>
      <c r="L382" s="4">
        <f>2*2.7335</f>
        <v>5.467</v>
      </c>
      <c r="M382" s="4">
        <v>22388</v>
      </c>
      <c r="N382" s="4">
        <f>2*3313.37</f>
        <v>6626.74</v>
      </c>
      <c r="R382" s="10"/>
      <c r="W382" s="10"/>
      <c r="Z382" s="6" t="s">
        <v>409</v>
      </c>
    </row>
    <row r="383" spans="1:26" ht="12.75">
      <c r="A383">
        <v>379</v>
      </c>
      <c r="B383" s="4" t="s">
        <v>128</v>
      </c>
      <c r="C383" s="4" t="s">
        <v>244</v>
      </c>
      <c r="D383" s="4" t="s">
        <v>130</v>
      </c>
      <c r="E383" s="4" t="s">
        <v>596</v>
      </c>
      <c r="F383" s="4">
        <v>0.0001</v>
      </c>
      <c r="K383" s="4">
        <v>-9.16</v>
      </c>
      <c r="L383" s="4">
        <f>2*1.4964</f>
        <v>2.9928</v>
      </c>
      <c r="M383" s="4">
        <v>39776</v>
      </c>
      <c r="N383" s="4">
        <f>2*2480</f>
        <v>4960</v>
      </c>
      <c r="O383">
        <v>79.425</v>
      </c>
      <c r="P383"/>
      <c r="Q383">
        <v>11.64</v>
      </c>
      <c r="R383"/>
      <c r="S383"/>
      <c r="T383"/>
      <c r="U383"/>
      <c r="V383">
        <v>4.77</v>
      </c>
      <c r="W383">
        <v>4.165</v>
      </c>
      <c r="X383"/>
      <c r="Y383">
        <v>100</v>
      </c>
      <c r="Z383" t="s">
        <v>435</v>
      </c>
    </row>
    <row r="384" spans="1:26" ht="12.75">
      <c r="A384">
        <v>380</v>
      </c>
      <c r="B384" s="4" t="s">
        <v>129</v>
      </c>
      <c r="C384" s="4" t="s">
        <v>244</v>
      </c>
      <c r="D384" s="4" t="s">
        <v>130</v>
      </c>
      <c r="E384" s="4" t="s">
        <v>493</v>
      </c>
      <c r="F384" s="4">
        <v>1</v>
      </c>
      <c r="I384" s="10" t="s">
        <v>201</v>
      </c>
      <c r="K384" s="4">
        <v>-12.72</v>
      </c>
      <c r="L384" s="4" t="s">
        <v>256</v>
      </c>
      <c r="M384" s="4">
        <v>23748</v>
      </c>
      <c r="N384" s="4" t="s">
        <v>256</v>
      </c>
      <c r="O384">
        <v>79.425</v>
      </c>
      <c r="P384"/>
      <c r="Q384">
        <v>11.64</v>
      </c>
      <c r="R384"/>
      <c r="S384"/>
      <c r="T384"/>
      <c r="U384"/>
      <c r="V384">
        <v>4.77</v>
      </c>
      <c r="W384">
        <v>4.165</v>
      </c>
      <c r="X384"/>
      <c r="Y384">
        <v>100</v>
      </c>
      <c r="Z384" t="s">
        <v>435</v>
      </c>
    </row>
    <row r="385" spans="1:26" ht="12.75">
      <c r="A385">
        <v>381</v>
      </c>
      <c r="R385" s="10"/>
      <c r="W385" s="10"/>
      <c r="Z385" s="4"/>
    </row>
    <row r="386" spans="1:26" ht="12.75">
      <c r="A386">
        <v>382</v>
      </c>
      <c r="B386" s="4" t="s">
        <v>154</v>
      </c>
      <c r="C386" s="4" t="s">
        <v>358</v>
      </c>
      <c r="D386" s="4" t="s">
        <v>66</v>
      </c>
      <c r="E386" s="4" t="s">
        <v>250</v>
      </c>
      <c r="F386" s="4">
        <v>0.0001</v>
      </c>
      <c r="G386" s="4" t="s">
        <v>511</v>
      </c>
      <c r="K386" s="4">
        <v>-9.82</v>
      </c>
      <c r="L386" s="4">
        <f>2*1.8486</f>
        <v>3.6972</v>
      </c>
      <c r="M386" s="4">
        <v>25865</v>
      </c>
      <c r="N386" s="4">
        <f>2*3149.7</f>
        <v>6299.4</v>
      </c>
      <c r="O386" s="4">
        <v>47.6</v>
      </c>
      <c r="Q386" s="4">
        <v>16.4</v>
      </c>
      <c r="R386" s="10"/>
      <c r="T386" s="4">
        <v>16.9</v>
      </c>
      <c r="U386" s="4">
        <v>19.4</v>
      </c>
      <c r="W386" s="10"/>
      <c r="Y386" s="4">
        <v>100.3</v>
      </c>
      <c r="Z386" s="4" t="s">
        <v>307</v>
      </c>
    </row>
    <row r="387" spans="1:27" ht="12.75">
      <c r="A387">
        <v>383</v>
      </c>
      <c r="B387" s="4" t="s">
        <v>173</v>
      </c>
      <c r="C387" s="4" t="s">
        <v>358</v>
      </c>
      <c r="D387" s="4" t="s">
        <v>130</v>
      </c>
      <c r="E387" s="4" t="s">
        <v>384</v>
      </c>
      <c r="F387" s="4">
        <v>0.5</v>
      </c>
      <c r="I387" s="10" t="s">
        <v>268</v>
      </c>
      <c r="K387" s="4">
        <v>-2.76</v>
      </c>
      <c r="L387" s="4">
        <f>2*2.8795</f>
        <v>5.759</v>
      </c>
      <c r="M387" s="4">
        <v>40820</v>
      </c>
      <c r="N387" s="4">
        <f>2*4184.86</f>
        <v>8369.72</v>
      </c>
      <c r="O387" s="4">
        <v>59.8</v>
      </c>
      <c r="P387" s="4">
        <v>0.78</v>
      </c>
      <c r="Q387" s="4">
        <v>19.52</v>
      </c>
      <c r="R387" s="10">
        <v>2.95</v>
      </c>
      <c r="T387" s="4">
        <v>0.66</v>
      </c>
      <c r="U387" s="4">
        <v>3.86</v>
      </c>
      <c r="V387" s="4">
        <v>5.5</v>
      </c>
      <c r="W387" s="10">
        <v>7.31</v>
      </c>
      <c r="Y387" s="4">
        <v>100.38</v>
      </c>
      <c r="Z387" s="4" t="s">
        <v>391</v>
      </c>
      <c r="AA387" s="2"/>
    </row>
    <row r="388" spans="1:26" ht="12.75">
      <c r="A388">
        <v>384</v>
      </c>
      <c r="B388" s="4" t="s">
        <v>174</v>
      </c>
      <c r="C388" s="4" t="s">
        <v>358</v>
      </c>
      <c r="D388" s="4" t="s">
        <v>130</v>
      </c>
      <c r="E388" s="4" t="s">
        <v>492</v>
      </c>
      <c r="F388" s="4">
        <v>0.5</v>
      </c>
      <c r="I388" s="10" t="s">
        <v>588</v>
      </c>
      <c r="K388" s="4">
        <v>-1.86</v>
      </c>
      <c r="L388" s="4">
        <f>2*3.9851</f>
        <v>7.9702</v>
      </c>
      <c r="M388" s="4">
        <v>37780</v>
      </c>
      <c r="N388" s="4">
        <f>2*5702</f>
        <v>11404</v>
      </c>
      <c r="O388" s="4">
        <v>59.8</v>
      </c>
      <c r="P388" s="4">
        <v>0.78</v>
      </c>
      <c r="Q388" s="4">
        <v>19.52</v>
      </c>
      <c r="R388" s="10">
        <v>2.95</v>
      </c>
      <c r="T388" s="4">
        <v>0.66</v>
      </c>
      <c r="U388" s="4">
        <v>3.86</v>
      </c>
      <c r="V388" s="4">
        <v>5.5</v>
      </c>
      <c r="W388" s="10">
        <v>7.31</v>
      </c>
      <c r="Y388" s="4">
        <v>100.38</v>
      </c>
      <c r="Z388" s="4" t="s">
        <v>391</v>
      </c>
    </row>
    <row r="389" spans="1:26" ht="12.75">
      <c r="A389">
        <v>385</v>
      </c>
      <c r="B389" s="4" t="s">
        <v>176</v>
      </c>
      <c r="C389" s="4" t="s">
        <v>447</v>
      </c>
      <c r="D389" s="4" t="s">
        <v>130</v>
      </c>
      <c r="E389" s="4" t="s">
        <v>522</v>
      </c>
      <c r="F389" s="4">
        <v>0.5</v>
      </c>
      <c r="I389" s="10" t="s">
        <v>387</v>
      </c>
      <c r="K389" s="4">
        <v>-11.18</v>
      </c>
      <c r="L389" s="4">
        <f>2*0.1807</f>
        <v>0.3614</v>
      </c>
      <c r="M389" s="4">
        <v>22736</v>
      </c>
      <c r="N389" s="4">
        <f>2*273.38</f>
        <v>546.76</v>
      </c>
      <c r="O389" s="4">
        <v>62.09</v>
      </c>
      <c r="Q389" s="4">
        <v>19.47</v>
      </c>
      <c r="R389" s="10"/>
      <c r="T389" s="4">
        <v>2.53</v>
      </c>
      <c r="U389" s="4">
        <v>10.64</v>
      </c>
      <c r="V389" s="4">
        <v>4.25</v>
      </c>
      <c r="W389" s="10">
        <v>1.02</v>
      </c>
      <c r="Y389" s="4">
        <v>100</v>
      </c>
      <c r="Z389" s="14" t="s">
        <v>356</v>
      </c>
    </row>
    <row r="390" spans="1:26" ht="12.75">
      <c r="A390">
        <v>386</v>
      </c>
      <c r="B390" s="4" t="s">
        <v>99</v>
      </c>
      <c r="C390" s="4" t="s">
        <v>358</v>
      </c>
      <c r="D390" s="4" t="s">
        <v>130</v>
      </c>
      <c r="E390" s="4" t="s">
        <v>389</v>
      </c>
      <c r="F390" s="4">
        <v>0.5</v>
      </c>
      <c r="I390" s="10" t="s">
        <v>388</v>
      </c>
      <c r="K390" s="4">
        <v>-10.12</v>
      </c>
      <c r="L390" s="4">
        <f>2*11.3558</f>
        <v>22.7116</v>
      </c>
      <c r="M390" s="4">
        <v>31977</v>
      </c>
      <c r="N390" s="4">
        <f>2*16110</f>
        <v>32220</v>
      </c>
      <c r="O390" s="4">
        <v>62.37</v>
      </c>
      <c r="P390" s="4">
        <v>0.48</v>
      </c>
      <c r="Q390" s="4">
        <v>18.61</v>
      </c>
      <c r="R390" s="10">
        <v>3.68</v>
      </c>
      <c r="T390" s="4">
        <v>0.24</v>
      </c>
      <c r="U390" s="4">
        <v>1.73</v>
      </c>
      <c r="V390" s="4">
        <v>5.43</v>
      </c>
      <c r="W390" s="10">
        <v>7.25</v>
      </c>
      <c r="Y390" s="4">
        <v>99.79</v>
      </c>
      <c r="Z390" s="4" t="s">
        <v>391</v>
      </c>
    </row>
    <row r="391" spans="1:27" s="2" customFormat="1" ht="12.75">
      <c r="A391">
        <v>387</v>
      </c>
      <c r="B391" s="4" t="s">
        <v>104</v>
      </c>
      <c r="C391" s="4" t="s">
        <v>437</v>
      </c>
      <c r="D391" s="4" t="s">
        <v>130</v>
      </c>
      <c r="E391" s="4" t="s">
        <v>241</v>
      </c>
      <c r="F391" s="4">
        <v>0.0001</v>
      </c>
      <c r="G391" s="4"/>
      <c r="H391" s="4"/>
      <c r="I391" s="10"/>
      <c r="J391" s="4"/>
      <c r="K391" s="4">
        <v>-8.79</v>
      </c>
      <c r="L391" s="4">
        <f>2*1.3984</f>
        <v>2.7968</v>
      </c>
      <c r="M391" s="4">
        <v>29379</v>
      </c>
      <c r="N391" s="4">
        <f>2*1725.3</f>
        <v>3450.6</v>
      </c>
      <c r="O391" s="10">
        <f>0.5*(66.6+65.7)</f>
        <v>66.15</v>
      </c>
      <c r="P391" s="10"/>
      <c r="Q391" s="10">
        <f>0.5*(9.28+9.96)</f>
        <v>9.620000000000001</v>
      </c>
      <c r="R391" s="10"/>
      <c r="S391" s="10"/>
      <c r="T391" s="10"/>
      <c r="U391" s="10"/>
      <c r="V391" s="10">
        <f>0.5*(20.47+20.71)</f>
        <v>20.59</v>
      </c>
      <c r="W391" s="10">
        <f>0.5*(3.65+3.63)</f>
        <v>3.6399999999999997</v>
      </c>
      <c r="X391" s="10"/>
      <c r="Y391" s="10">
        <v>100</v>
      </c>
      <c r="Z391" s="4" t="s">
        <v>435</v>
      </c>
      <c r="AA391"/>
    </row>
    <row r="392" spans="1:26" ht="12.75">
      <c r="A392">
        <v>388</v>
      </c>
      <c r="B392" s="4" t="s">
        <v>123</v>
      </c>
      <c r="C392" s="6" t="s">
        <v>437</v>
      </c>
      <c r="D392" s="4" t="s">
        <v>130</v>
      </c>
      <c r="E392" s="6" t="s">
        <v>426</v>
      </c>
      <c r="F392" s="6">
        <v>0.8</v>
      </c>
      <c r="G392" s="6"/>
      <c r="H392" s="6"/>
      <c r="I392" s="13"/>
      <c r="J392" s="6"/>
      <c r="K392" s="6">
        <v>-2.26</v>
      </c>
      <c r="L392" s="6">
        <f>2*2.276</f>
        <v>4.552</v>
      </c>
      <c r="M392" s="6">
        <v>49263</v>
      </c>
      <c r="N392" s="6">
        <f>2*3694.52</f>
        <v>7389.04</v>
      </c>
      <c r="O392" s="13">
        <v>76.1</v>
      </c>
      <c r="P392" s="13">
        <v>0.1</v>
      </c>
      <c r="Q392" s="13">
        <v>13</v>
      </c>
      <c r="R392" s="13">
        <v>0.7</v>
      </c>
      <c r="S392" s="13"/>
      <c r="T392" s="13">
        <v>0.1</v>
      </c>
      <c r="U392" s="13">
        <v>0.5</v>
      </c>
      <c r="V392" s="13">
        <v>3.7</v>
      </c>
      <c r="W392" s="13">
        <v>4.8</v>
      </c>
      <c r="X392" s="13"/>
      <c r="Y392" s="13">
        <f>SUM(O392:X392)</f>
        <v>98.99999999999999</v>
      </c>
      <c r="Z392" s="6" t="s">
        <v>559</v>
      </c>
    </row>
    <row r="393" spans="1:26" ht="12.75">
      <c r="A393">
        <v>389</v>
      </c>
      <c r="B393" s="4" t="s">
        <v>128</v>
      </c>
      <c r="C393" s="4" t="s">
        <v>242</v>
      </c>
      <c r="D393" s="4" t="s">
        <v>130</v>
      </c>
      <c r="E393" s="4" t="s">
        <v>596</v>
      </c>
      <c r="F393" s="4">
        <v>0.0001</v>
      </c>
      <c r="K393" s="4">
        <v>-7.55</v>
      </c>
      <c r="L393" s="4">
        <f>2*1.9344</f>
        <v>3.8688</v>
      </c>
      <c r="M393" s="4">
        <v>42366</v>
      </c>
      <c r="N393" s="4">
        <f>2*3198.4</f>
        <v>6396.8</v>
      </c>
      <c r="O393">
        <v>79.425</v>
      </c>
      <c r="P393"/>
      <c r="Q393">
        <v>11.64</v>
      </c>
      <c r="R393"/>
      <c r="S393"/>
      <c r="T393"/>
      <c r="U393"/>
      <c r="V393">
        <v>4.77</v>
      </c>
      <c r="W393">
        <v>4.165</v>
      </c>
      <c r="X393"/>
      <c r="Y393">
        <v>100</v>
      </c>
      <c r="Z393" t="s">
        <v>435</v>
      </c>
    </row>
    <row r="394" spans="1:26" ht="12.75">
      <c r="A394">
        <v>390</v>
      </c>
      <c r="B394" s="4" t="s">
        <v>129</v>
      </c>
      <c r="C394" s="4" t="s">
        <v>242</v>
      </c>
      <c r="D394" s="4" t="s">
        <v>130</v>
      </c>
      <c r="E394" s="4" t="s">
        <v>493</v>
      </c>
      <c r="F394" s="4">
        <v>1</v>
      </c>
      <c r="K394" s="4">
        <v>-11.56</v>
      </c>
      <c r="L394" s="4" t="s">
        <v>256</v>
      </c>
      <c r="M394" s="4">
        <v>25105</v>
      </c>
      <c r="N394" s="4" t="s">
        <v>256</v>
      </c>
      <c r="O394">
        <v>79.425</v>
      </c>
      <c r="P394"/>
      <c r="Q394">
        <v>11.64</v>
      </c>
      <c r="R394"/>
      <c r="S394"/>
      <c r="T394"/>
      <c r="U394"/>
      <c r="V394">
        <v>4.77</v>
      </c>
      <c r="W394">
        <v>4.165</v>
      </c>
      <c r="X394"/>
      <c r="Y394">
        <v>100</v>
      </c>
      <c r="Z394" t="s">
        <v>435</v>
      </c>
    </row>
    <row r="395" spans="1:26" ht="12.75">
      <c r="A395">
        <v>391</v>
      </c>
      <c r="R395" s="10"/>
      <c r="W395" s="10"/>
      <c r="Z395" s="4"/>
    </row>
    <row r="396" spans="1:26" ht="12.75">
      <c r="A396">
        <v>392</v>
      </c>
      <c r="B396" s="4" t="s">
        <v>173</v>
      </c>
      <c r="C396" s="4" t="s">
        <v>449</v>
      </c>
      <c r="D396" s="4" t="s">
        <v>130</v>
      </c>
      <c r="E396" s="4" t="s">
        <v>384</v>
      </c>
      <c r="F396" s="4">
        <v>0.5</v>
      </c>
      <c r="I396" s="10" t="s">
        <v>488</v>
      </c>
      <c r="K396" s="4">
        <v>4.01</v>
      </c>
      <c r="L396" s="4">
        <f>2*5.2505</f>
        <v>10.501</v>
      </c>
      <c r="M396" s="4">
        <v>51550</v>
      </c>
      <c r="N396" s="4">
        <f>2*9195.27</f>
        <v>18390.54</v>
      </c>
      <c r="O396" s="4">
        <v>59.8</v>
      </c>
      <c r="P396" s="4">
        <v>0.78</v>
      </c>
      <c r="Q396" s="4">
        <v>19.52</v>
      </c>
      <c r="R396" s="10">
        <v>2.95</v>
      </c>
      <c r="T396" s="4">
        <v>0.66</v>
      </c>
      <c r="U396" s="4">
        <v>3.86</v>
      </c>
      <c r="V396" s="4">
        <v>5.5</v>
      </c>
      <c r="W396" s="10">
        <v>7.31</v>
      </c>
      <c r="Y396" s="4">
        <v>100.38</v>
      </c>
      <c r="Z396" s="4" t="s">
        <v>391</v>
      </c>
    </row>
    <row r="397" spans="1:27" ht="12.75">
      <c r="A397">
        <v>393</v>
      </c>
      <c r="B397" s="4" t="s">
        <v>174</v>
      </c>
      <c r="C397" s="4" t="s">
        <v>449</v>
      </c>
      <c r="D397" s="4" t="s">
        <v>130</v>
      </c>
      <c r="E397" s="4" t="s">
        <v>597</v>
      </c>
      <c r="F397" s="4">
        <v>0.5</v>
      </c>
      <c r="I397" s="10" t="s">
        <v>450</v>
      </c>
      <c r="K397" s="4">
        <v>-2.17</v>
      </c>
      <c r="L397" s="4">
        <f>2*0.06226</f>
        <v>0.12452</v>
      </c>
      <c r="M397" s="4">
        <v>37285</v>
      </c>
      <c r="N397" s="4">
        <f>2*89.1</f>
        <v>178.2</v>
      </c>
      <c r="O397" s="4">
        <v>59.8</v>
      </c>
      <c r="P397" s="4">
        <v>0.78</v>
      </c>
      <c r="Q397" s="4">
        <v>19.52</v>
      </c>
      <c r="R397" s="10">
        <v>2.95</v>
      </c>
      <c r="T397" s="4">
        <v>0.66</v>
      </c>
      <c r="U397" s="4">
        <v>3.86</v>
      </c>
      <c r="V397" s="4">
        <v>5.5</v>
      </c>
      <c r="W397" s="10">
        <v>7.31</v>
      </c>
      <c r="Y397" s="4">
        <v>100.38</v>
      </c>
      <c r="Z397" s="4" t="s">
        <v>391</v>
      </c>
      <c r="AA397" s="25"/>
    </row>
    <row r="398" spans="1:26" ht="12.75">
      <c r="A398">
        <v>394</v>
      </c>
      <c r="B398" s="4" t="s">
        <v>176</v>
      </c>
      <c r="C398" s="4" t="s">
        <v>449</v>
      </c>
      <c r="D398" s="4" t="s">
        <v>130</v>
      </c>
      <c r="E398" s="4" t="s">
        <v>522</v>
      </c>
      <c r="F398" s="4">
        <v>0.5</v>
      </c>
      <c r="I398" s="10" t="s">
        <v>387</v>
      </c>
      <c r="K398" s="4">
        <v>-12.547</v>
      </c>
      <c r="L398" s="4">
        <f>2*1.2857</f>
        <v>2.5714</v>
      </c>
      <c r="M398" s="4">
        <v>20586</v>
      </c>
      <c r="N398" s="4">
        <f>2*1945.28</f>
        <v>3890.56</v>
      </c>
      <c r="O398" s="4">
        <v>62.09</v>
      </c>
      <c r="Q398" s="4">
        <v>19.47</v>
      </c>
      <c r="R398" s="10"/>
      <c r="T398" s="4">
        <v>2.53</v>
      </c>
      <c r="U398" s="4">
        <v>10.64</v>
      </c>
      <c r="V398" s="4">
        <v>4.25</v>
      </c>
      <c r="W398" s="10">
        <v>1.02</v>
      </c>
      <c r="Y398" s="4">
        <v>100</v>
      </c>
      <c r="Z398" s="14" t="s">
        <v>356</v>
      </c>
    </row>
    <row r="399" spans="1:26" ht="12.75">
      <c r="A399">
        <v>395</v>
      </c>
      <c r="B399" s="4" t="s">
        <v>99</v>
      </c>
      <c r="C399" s="4" t="s">
        <v>449</v>
      </c>
      <c r="D399" s="4" t="s">
        <v>130</v>
      </c>
      <c r="E399" s="4" t="s">
        <v>353</v>
      </c>
      <c r="F399" s="4">
        <v>0.5</v>
      </c>
      <c r="I399" s="10" t="s">
        <v>441</v>
      </c>
      <c r="K399" s="4">
        <v>-8.94</v>
      </c>
      <c r="L399" s="4">
        <f>2*5.991</f>
        <v>11.982</v>
      </c>
      <c r="M399" s="4">
        <v>33059</v>
      </c>
      <c r="N399" s="4">
        <f>2*8499.7</f>
        <v>16999.4</v>
      </c>
      <c r="O399" s="4">
        <v>62.37</v>
      </c>
      <c r="P399" s="4">
        <v>0.48</v>
      </c>
      <c r="Q399" s="4">
        <v>18.61</v>
      </c>
      <c r="R399" s="10">
        <v>3.68</v>
      </c>
      <c r="T399" s="4">
        <v>0.24</v>
      </c>
      <c r="U399" s="4">
        <v>1.73</v>
      </c>
      <c r="V399" s="4">
        <v>5.43</v>
      </c>
      <c r="W399" s="10">
        <v>7.25</v>
      </c>
      <c r="Y399" s="4">
        <v>99.79</v>
      </c>
      <c r="Z399" s="4" t="s">
        <v>391</v>
      </c>
    </row>
    <row r="400" spans="1:26" ht="12.75">
      <c r="A400">
        <v>396</v>
      </c>
      <c r="B400" s="4" t="s">
        <v>104</v>
      </c>
      <c r="C400" s="4" t="s">
        <v>449</v>
      </c>
      <c r="D400" s="4" t="s">
        <v>130</v>
      </c>
      <c r="E400" s="4" t="s">
        <v>241</v>
      </c>
      <c r="F400" s="4">
        <v>0.0001</v>
      </c>
      <c r="K400" s="4">
        <v>-10.82</v>
      </c>
      <c r="L400" s="4">
        <f>2*0.66367</f>
        <v>1.32734</v>
      </c>
      <c r="M400" s="4">
        <v>27830</v>
      </c>
      <c r="N400" s="4">
        <f>2*818.84</f>
        <v>1637.68</v>
      </c>
      <c r="O400" s="4">
        <f>0.5*(66.6+65.7)</f>
        <v>66.15</v>
      </c>
      <c r="Q400" s="4">
        <f>0.5*(9.28+9.96)</f>
        <v>9.620000000000001</v>
      </c>
      <c r="R400" s="10"/>
      <c r="V400" s="4">
        <f>0.5*(20.47+20.71)</f>
        <v>20.59</v>
      </c>
      <c r="W400" s="10">
        <f>0.5*(3.65+3.63)</f>
        <v>3.6399999999999997</v>
      </c>
      <c r="Y400" s="4">
        <v>100</v>
      </c>
      <c r="Z400" s="4" t="s">
        <v>435</v>
      </c>
    </row>
    <row r="401" spans="1:26" ht="12.75">
      <c r="A401">
        <v>397</v>
      </c>
      <c r="B401" s="4" t="s">
        <v>128</v>
      </c>
      <c r="C401" s="4" t="s">
        <v>449</v>
      </c>
      <c r="D401" s="4" t="s">
        <v>130</v>
      </c>
      <c r="E401" s="4" t="s">
        <v>596</v>
      </c>
      <c r="F401" s="4">
        <v>0.0001</v>
      </c>
      <c r="K401" s="4">
        <v>-7.9</v>
      </c>
      <c r="L401" s="4">
        <f>2*4.0715</f>
        <v>8.143</v>
      </c>
      <c r="M401" s="4">
        <v>42614</v>
      </c>
      <c r="N401" s="4">
        <f>2*6747.78</f>
        <v>13495.56</v>
      </c>
      <c r="O401">
        <v>79.425</v>
      </c>
      <c r="P401"/>
      <c r="Q401">
        <v>11.64</v>
      </c>
      <c r="R401"/>
      <c r="S401"/>
      <c r="T401"/>
      <c r="U401"/>
      <c r="V401">
        <v>4.77</v>
      </c>
      <c r="W401">
        <v>4.165</v>
      </c>
      <c r="X401"/>
      <c r="Y401">
        <v>100</v>
      </c>
      <c r="Z401" t="s">
        <v>435</v>
      </c>
    </row>
    <row r="402" spans="1:26" ht="12.75">
      <c r="A402">
        <v>398</v>
      </c>
      <c r="B402" s="4" t="s">
        <v>129</v>
      </c>
      <c r="C402" s="4" t="s">
        <v>449</v>
      </c>
      <c r="D402" s="4" t="s">
        <v>130</v>
      </c>
      <c r="E402" s="4" t="s">
        <v>493</v>
      </c>
      <c r="F402" s="4">
        <v>1</v>
      </c>
      <c r="I402" s="10">
        <v>3.6</v>
      </c>
      <c r="K402" s="4">
        <v>-10.48</v>
      </c>
      <c r="L402" s="4" t="s">
        <v>256</v>
      </c>
      <c r="M402" s="4">
        <v>28724</v>
      </c>
      <c r="N402" s="4" t="s">
        <v>256</v>
      </c>
      <c r="O402">
        <v>79.425</v>
      </c>
      <c r="P402"/>
      <c r="Q402">
        <v>11.64</v>
      </c>
      <c r="R402"/>
      <c r="S402"/>
      <c r="T402"/>
      <c r="U402"/>
      <c r="V402">
        <v>4.77</v>
      </c>
      <c r="W402">
        <v>4.165</v>
      </c>
      <c r="X402"/>
      <c r="Y402">
        <v>100</v>
      </c>
      <c r="Z402" t="s">
        <v>435</v>
      </c>
    </row>
    <row r="403" spans="1:26" ht="12.75">
      <c r="A403">
        <v>399</v>
      </c>
      <c r="R403" s="10"/>
      <c r="W403" s="10"/>
      <c r="Z403" s="4"/>
    </row>
    <row r="404" spans="1:26" ht="12.75">
      <c r="A404">
        <v>400</v>
      </c>
      <c r="B404" s="4" t="s">
        <v>173</v>
      </c>
      <c r="C404" s="4" t="s">
        <v>227</v>
      </c>
      <c r="D404" s="4" t="s">
        <v>130</v>
      </c>
      <c r="E404" s="4" t="s">
        <v>384</v>
      </c>
      <c r="F404" s="4">
        <v>0.5</v>
      </c>
      <c r="I404" s="10" t="s">
        <v>488</v>
      </c>
      <c r="K404" s="4">
        <v>-4.36</v>
      </c>
      <c r="L404" s="4">
        <f>2*2.8853</f>
        <v>5.7706</v>
      </c>
      <c r="M404" s="4">
        <v>37678</v>
      </c>
      <c r="N404" s="4">
        <f>2*4193.39</f>
        <v>8386.78</v>
      </c>
      <c r="O404" s="4">
        <v>59.8</v>
      </c>
      <c r="P404" s="4">
        <v>0.78</v>
      </c>
      <c r="Q404" s="4">
        <v>19.52</v>
      </c>
      <c r="R404" s="10">
        <v>2.95</v>
      </c>
      <c r="T404" s="4">
        <v>0.66</v>
      </c>
      <c r="U404" s="4">
        <v>3.86</v>
      </c>
      <c r="V404" s="4">
        <v>5.5</v>
      </c>
      <c r="W404" s="10">
        <v>7.31</v>
      </c>
      <c r="Y404" s="4">
        <v>100.38</v>
      </c>
      <c r="Z404" s="4" t="s">
        <v>391</v>
      </c>
    </row>
    <row r="405" spans="1:26" ht="12.75">
      <c r="A405">
        <v>401</v>
      </c>
      <c r="B405" s="4" t="s">
        <v>174</v>
      </c>
      <c r="C405" s="4" t="s">
        <v>227</v>
      </c>
      <c r="D405" s="4" t="s">
        <v>130</v>
      </c>
      <c r="E405" s="4" t="s">
        <v>597</v>
      </c>
      <c r="F405" s="4">
        <v>0.5</v>
      </c>
      <c r="I405" s="10" t="s">
        <v>450</v>
      </c>
      <c r="K405" s="4">
        <f>4.36</f>
        <v>4.36</v>
      </c>
      <c r="L405" s="4">
        <f>2*0.7</f>
        <v>1.4</v>
      </c>
      <c r="M405" s="4">
        <v>33106</v>
      </c>
      <c r="N405" s="4">
        <f>2*1002</f>
        <v>2004</v>
      </c>
      <c r="O405" s="4">
        <v>59.8</v>
      </c>
      <c r="P405" s="4">
        <v>0.78</v>
      </c>
      <c r="Q405" s="4">
        <v>19.52</v>
      </c>
      <c r="R405" s="10">
        <v>2.95</v>
      </c>
      <c r="T405" s="4">
        <v>0.66</v>
      </c>
      <c r="U405" s="4">
        <v>3.86</v>
      </c>
      <c r="V405" s="4">
        <v>5.5</v>
      </c>
      <c r="W405" s="10">
        <v>7.31</v>
      </c>
      <c r="Y405" s="4">
        <v>100.38</v>
      </c>
      <c r="Z405" s="4" t="s">
        <v>391</v>
      </c>
    </row>
    <row r="406" spans="1:26" ht="12.75">
      <c r="A406">
        <v>402</v>
      </c>
      <c r="B406" s="4" t="s">
        <v>176</v>
      </c>
      <c r="C406" s="4" t="s">
        <v>227</v>
      </c>
      <c r="D406" s="4" t="s">
        <v>130</v>
      </c>
      <c r="E406" s="4" t="s">
        <v>522</v>
      </c>
      <c r="F406" s="4">
        <v>0.5</v>
      </c>
      <c r="I406" s="10" t="s">
        <v>387</v>
      </c>
      <c r="K406" s="4">
        <v>-11.93</v>
      </c>
      <c r="L406" s="4">
        <f>2*0.1044</f>
        <v>0.2088</v>
      </c>
      <c r="M406" s="4">
        <v>20974</v>
      </c>
      <c r="N406" s="4">
        <f>2*158</f>
        <v>316</v>
      </c>
      <c r="O406" s="4">
        <v>62.09</v>
      </c>
      <c r="Q406" s="4">
        <v>19.47</v>
      </c>
      <c r="R406" s="10"/>
      <c r="T406" s="4">
        <v>2.53</v>
      </c>
      <c r="U406" s="4">
        <v>10.64</v>
      </c>
      <c r="V406" s="4">
        <v>4.25</v>
      </c>
      <c r="W406" s="10">
        <v>1.02</v>
      </c>
      <c r="Y406" s="4">
        <v>100</v>
      </c>
      <c r="Z406" s="14" t="s">
        <v>356</v>
      </c>
    </row>
    <row r="407" spans="1:26" ht="12.75">
      <c r="A407">
        <v>403</v>
      </c>
      <c r="B407" s="4" t="s">
        <v>99</v>
      </c>
      <c r="C407" s="4" t="s">
        <v>227</v>
      </c>
      <c r="D407" s="4" t="s">
        <v>130</v>
      </c>
      <c r="E407" s="4" t="s">
        <v>353</v>
      </c>
      <c r="F407" s="4">
        <v>0.5</v>
      </c>
      <c r="I407" s="10" t="s">
        <v>441</v>
      </c>
      <c r="K407" s="4">
        <v>-4.38</v>
      </c>
      <c r="L407" s="4">
        <f>2*8.2276</f>
        <v>16.4552</v>
      </c>
      <c r="M407" s="4">
        <v>38812</v>
      </c>
      <c r="N407" s="4">
        <f>2*11672</f>
        <v>23344</v>
      </c>
      <c r="O407" s="4">
        <v>62.37</v>
      </c>
      <c r="P407" s="4">
        <v>0.48</v>
      </c>
      <c r="Q407" s="4">
        <v>18.61</v>
      </c>
      <c r="R407" s="10">
        <v>3.68</v>
      </c>
      <c r="T407" s="4">
        <v>0.24</v>
      </c>
      <c r="U407" s="4">
        <v>1.73</v>
      </c>
      <c r="V407" s="4">
        <v>5.43</v>
      </c>
      <c r="W407" s="10">
        <v>7.25</v>
      </c>
      <c r="Y407" s="4">
        <v>99.79</v>
      </c>
      <c r="Z407" s="4" t="s">
        <v>391</v>
      </c>
    </row>
    <row r="408" spans="1:26" ht="12.75">
      <c r="A408">
        <v>404</v>
      </c>
      <c r="B408" s="4" t="s">
        <v>104</v>
      </c>
      <c r="C408" s="4" t="s">
        <v>227</v>
      </c>
      <c r="D408" s="4" t="s">
        <v>130</v>
      </c>
      <c r="E408" s="4" t="s">
        <v>241</v>
      </c>
      <c r="F408" s="4">
        <v>0.0001</v>
      </c>
      <c r="K408" s="4">
        <v>-13.03</v>
      </c>
      <c r="L408" s="4">
        <f>2*3.6567</f>
        <v>7.3134</v>
      </c>
      <c r="M408" s="4">
        <f>22022</f>
        <v>22022</v>
      </c>
      <c r="N408" s="4">
        <f>2*4511.6</f>
        <v>9023.2</v>
      </c>
      <c r="O408" s="4">
        <f>0.5*(66.6+65.7)</f>
        <v>66.15</v>
      </c>
      <c r="Q408" s="4">
        <f>0.5*(9.28+9.96)</f>
        <v>9.620000000000001</v>
      </c>
      <c r="R408" s="10"/>
      <c r="V408" s="4">
        <f>0.5*(20.47+20.71)</f>
        <v>20.59</v>
      </c>
      <c r="W408" s="10">
        <f>0.5*(3.65+3.63)</f>
        <v>3.6399999999999997</v>
      </c>
      <c r="Y408" s="4">
        <v>100</v>
      </c>
      <c r="Z408" s="4" t="s">
        <v>435</v>
      </c>
    </row>
    <row r="409" spans="1:27" ht="12.75">
      <c r="A409">
        <v>405</v>
      </c>
      <c r="B409" s="4" t="s">
        <v>116</v>
      </c>
      <c r="C409" s="4" t="s">
        <v>237</v>
      </c>
      <c r="D409" s="4" t="s">
        <v>69</v>
      </c>
      <c r="E409" s="4" t="s">
        <v>238</v>
      </c>
      <c r="F409" s="4" t="s">
        <v>135</v>
      </c>
      <c r="K409" s="4">
        <v>-15.77</v>
      </c>
      <c r="L409" s="4">
        <f>2*2.28497</f>
        <v>4.56994</v>
      </c>
      <c r="M409" s="4">
        <v>21329</v>
      </c>
      <c r="N409" s="4">
        <f>2*3033</f>
        <v>6066</v>
      </c>
      <c r="O409" s="6">
        <v>71.56</v>
      </c>
      <c r="P409" s="6">
        <v>0.26</v>
      </c>
      <c r="Q409" s="6">
        <v>7.69</v>
      </c>
      <c r="R409" s="13">
        <v>8.06</v>
      </c>
      <c r="S409" s="6">
        <v>0.32</v>
      </c>
      <c r="T409" s="6">
        <v>0.01</v>
      </c>
      <c r="U409" s="6">
        <v>0.27</v>
      </c>
      <c r="V409" s="6">
        <v>7.11</v>
      </c>
      <c r="W409" s="13">
        <v>4.25</v>
      </c>
      <c r="X409" s="6">
        <v>0</v>
      </c>
      <c r="Y409" s="6">
        <f>SUM(O409:X409)</f>
        <v>99.53</v>
      </c>
      <c r="Z409" s="6" t="s">
        <v>419</v>
      </c>
      <c r="AA409" s="2"/>
    </row>
    <row r="410" spans="1:26" ht="12.75">
      <c r="A410">
        <v>406</v>
      </c>
      <c r="B410" s="4" t="s">
        <v>128</v>
      </c>
      <c r="C410" s="4" t="s">
        <v>227</v>
      </c>
      <c r="D410" s="4" t="s">
        <v>130</v>
      </c>
      <c r="E410" s="4" t="s">
        <v>596</v>
      </c>
      <c r="F410" s="4">
        <v>0.0001</v>
      </c>
      <c r="K410" s="4">
        <v>-10.68</v>
      </c>
      <c r="L410" s="4">
        <f>2*1.4575</f>
        <v>2.915</v>
      </c>
      <c r="M410" s="4">
        <v>36266</v>
      </c>
      <c r="N410" s="4">
        <f>2*2409.87</f>
        <v>4819.74</v>
      </c>
      <c r="O410">
        <v>79.425</v>
      </c>
      <c r="P410"/>
      <c r="Q410">
        <v>11.64</v>
      </c>
      <c r="R410"/>
      <c r="S410"/>
      <c r="T410"/>
      <c r="U410"/>
      <c r="V410">
        <v>4.77</v>
      </c>
      <c r="W410">
        <v>4.165</v>
      </c>
      <c r="X410"/>
      <c r="Y410">
        <v>100</v>
      </c>
      <c r="Z410" t="s">
        <v>435</v>
      </c>
    </row>
    <row r="411" spans="1:26" ht="12.75">
      <c r="A411">
        <v>407</v>
      </c>
      <c r="B411" s="4" t="s">
        <v>129</v>
      </c>
      <c r="C411" s="4" t="s">
        <v>227</v>
      </c>
      <c r="D411" s="4" t="s">
        <v>130</v>
      </c>
      <c r="E411" s="4" t="s">
        <v>493</v>
      </c>
      <c r="F411" s="4">
        <v>1</v>
      </c>
      <c r="I411" s="10" t="s">
        <v>448</v>
      </c>
      <c r="K411" s="4">
        <v>-11.21</v>
      </c>
      <c r="L411" s="4" t="s">
        <v>256</v>
      </c>
      <c r="M411" s="4">
        <v>25331</v>
      </c>
      <c r="N411" s="4" t="s">
        <v>256</v>
      </c>
      <c r="O411">
        <v>79.425</v>
      </c>
      <c r="P411"/>
      <c r="Q411">
        <v>11.64</v>
      </c>
      <c r="R411"/>
      <c r="S411"/>
      <c r="T411"/>
      <c r="U411"/>
      <c r="V411">
        <v>4.77</v>
      </c>
      <c r="W411">
        <v>4.165</v>
      </c>
      <c r="X411"/>
      <c r="Y411">
        <v>100</v>
      </c>
      <c r="Z411" t="s">
        <v>435</v>
      </c>
    </row>
    <row r="412" spans="1:26" ht="12.75">
      <c r="A412">
        <v>408</v>
      </c>
      <c r="B412" s="4" t="s">
        <v>1</v>
      </c>
      <c r="C412" s="4" t="s">
        <v>237</v>
      </c>
      <c r="D412" s="4" t="s">
        <v>130</v>
      </c>
      <c r="E412" s="4" t="s">
        <v>2</v>
      </c>
      <c r="F412" s="4" t="s">
        <v>41</v>
      </c>
      <c r="K412" s="8" t="s">
        <v>3</v>
      </c>
      <c r="O412"/>
      <c r="P412"/>
      <c r="Q412"/>
      <c r="R412"/>
      <c r="S412"/>
      <c r="T412"/>
      <c r="U412"/>
      <c r="V412"/>
      <c r="W412"/>
      <c r="X412"/>
      <c r="Y412"/>
      <c r="Z412" t="s">
        <v>37</v>
      </c>
    </row>
    <row r="413" spans="1:26" ht="12.75">
      <c r="A413">
        <v>409</v>
      </c>
      <c r="R413" s="10"/>
      <c r="W413" s="10"/>
      <c r="Z413" s="4"/>
    </row>
    <row r="414" spans="1:26" ht="12.75">
      <c r="A414">
        <v>410</v>
      </c>
      <c r="B414" s="4" t="s">
        <v>104</v>
      </c>
      <c r="C414" s="4" t="s">
        <v>253</v>
      </c>
      <c r="D414" s="4" t="s">
        <v>130</v>
      </c>
      <c r="E414" s="4" t="s">
        <v>241</v>
      </c>
      <c r="F414" s="4">
        <v>0.0001</v>
      </c>
      <c r="K414" s="4">
        <v>-9.18</v>
      </c>
      <c r="L414" s="4">
        <f>2*3.89</f>
        <v>7.78</v>
      </c>
      <c r="M414" s="4">
        <v>27001</v>
      </c>
      <c r="N414" s="4">
        <f>2*4799</f>
        <v>9598</v>
      </c>
      <c r="O414" s="4">
        <f>0.5*(66.6+65.7)</f>
        <v>66.15</v>
      </c>
      <c r="Q414" s="4">
        <f>0.5*(9.28+9.96)</f>
        <v>9.620000000000001</v>
      </c>
      <c r="R414" s="10"/>
      <c r="V414" s="4">
        <f>0.5*(20.47+20.71)</f>
        <v>20.59</v>
      </c>
      <c r="W414" s="10">
        <f>0.5*(3.65+3.63)</f>
        <v>3.6399999999999997</v>
      </c>
      <c r="Y414" s="4">
        <v>100</v>
      </c>
      <c r="Z414" s="4" t="s">
        <v>435</v>
      </c>
    </row>
    <row r="415" spans="1:26" ht="12.75">
      <c r="A415">
        <v>411</v>
      </c>
      <c r="B415" s="4" t="s">
        <v>128</v>
      </c>
      <c r="C415" s="4" t="s">
        <v>253</v>
      </c>
      <c r="D415" s="4" t="s">
        <v>130</v>
      </c>
      <c r="E415" s="4" t="s">
        <v>596</v>
      </c>
      <c r="F415" s="4">
        <v>0.0001</v>
      </c>
      <c r="K415" s="4">
        <v>-12.41</v>
      </c>
      <c r="L415" s="4">
        <f>2*1.4216</f>
        <v>2.8432</v>
      </c>
      <c r="M415" s="4">
        <v>33792</v>
      </c>
      <c r="N415" s="4">
        <f>2*2341.44</f>
        <v>4682.88</v>
      </c>
      <c r="O415">
        <v>79.425</v>
      </c>
      <c r="P415"/>
      <c r="Q415">
        <v>11.64</v>
      </c>
      <c r="R415"/>
      <c r="S415"/>
      <c r="T415"/>
      <c r="U415"/>
      <c r="V415">
        <v>4.77</v>
      </c>
      <c r="W415">
        <v>4.165</v>
      </c>
      <c r="X415"/>
      <c r="Y415">
        <v>100</v>
      </c>
      <c r="Z415" t="s">
        <v>435</v>
      </c>
    </row>
    <row r="416" spans="1:26" ht="12.75">
      <c r="A416">
        <v>412</v>
      </c>
      <c r="R416" s="10"/>
      <c r="W416" s="10"/>
      <c r="Z416" s="4"/>
    </row>
    <row r="417" spans="1:26" ht="12.75">
      <c r="A417">
        <v>413</v>
      </c>
      <c r="B417" s="4" t="s">
        <v>173</v>
      </c>
      <c r="C417" s="4" t="s">
        <v>236</v>
      </c>
      <c r="D417" s="4" t="s">
        <v>130</v>
      </c>
      <c r="E417" s="4" t="s">
        <v>384</v>
      </c>
      <c r="F417" s="4">
        <v>0.5</v>
      </c>
      <c r="I417" s="10" t="s">
        <v>488</v>
      </c>
      <c r="K417" s="4">
        <v>-3.16</v>
      </c>
      <c r="L417" s="4">
        <f>2*3.732</f>
        <v>7.464</v>
      </c>
      <c r="M417" s="4">
        <v>36322</v>
      </c>
      <c r="N417" s="4">
        <f>2*5490</f>
        <v>10980</v>
      </c>
      <c r="O417" s="4">
        <v>59.8</v>
      </c>
      <c r="P417" s="4">
        <v>0.78</v>
      </c>
      <c r="Q417" s="4">
        <v>19.52</v>
      </c>
      <c r="R417" s="10">
        <v>2.95</v>
      </c>
      <c r="T417" s="4">
        <v>0.66</v>
      </c>
      <c r="U417" s="4">
        <v>3.86</v>
      </c>
      <c r="V417" s="4">
        <v>5.5</v>
      </c>
      <c r="W417" s="10">
        <v>7.31</v>
      </c>
      <c r="Y417" s="4">
        <v>100.38</v>
      </c>
      <c r="Z417" s="4" t="s">
        <v>391</v>
      </c>
    </row>
    <row r="418" spans="1:26" ht="12.75">
      <c r="A418">
        <v>414</v>
      </c>
      <c r="B418" s="4" t="s">
        <v>174</v>
      </c>
      <c r="C418" s="4" t="s">
        <v>236</v>
      </c>
      <c r="D418" s="4" t="s">
        <v>130</v>
      </c>
      <c r="E418" s="4" t="s">
        <v>597</v>
      </c>
      <c r="F418" s="4">
        <v>0.5</v>
      </c>
      <c r="I418" s="10">
        <v>1.7</v>
      </c>
      <c r="K418" s="4">
        <v>-12.97</v>
      </c>
      <c r="L418" s="4">
        <f>2*6.454546</f>
        <v>12.909092</v>
      </c>
      <c r="M418" s="4">
        <v>18666</v>
      </c>
      <c r="N418" s="4">
        <f>2*9507</f>
        <v>19014</v>
      </c>
      <c r="O418" s="4">
        <v>59.8</v>
      </c>
      <c r="P418" s="4">
        <v>0.78</v>
      </c>
      <c r="Q418" s="4">
        <v>19.52</v>
      </c>
      <c r="R418" s="10">
        <v>2.95</v>
      </c>
      <c r="T418" s="4">
        <v>0.66</v>
      </c>
      <c r="U418" s="4">
        <v>3.86</v>
      </c>
      <c r="V418" s="4">
        <v>5.5</v>
      </c>
      <c r="W418" s="10">
        <v>7.31</v>
      </c>
      <c r="Y418" s="4">
        <v>100.38</v>
      </c>
      <c r="Z418" s="4" t="s">
        <v>391</v>
      </c>
    </row>
    <row r="419" spans="1:26" ht="12.75">
      <c r="A419">
        <v>415</v>
      </c>
      <c r="B419" s="4" t="s">
        <v>176</v>
      </c>
      <c r="C419" s="4" t="s">
        <v>236</v>
      </c>
      <c r="D419" s="4" t="s">
        <v>130</v>
      </c>
      <c r="E419" s="4" t="s">
        <v>522</v>
      </c>
      <c r="F419" s="4">
        <v>0.5</v>
      </c>
      <c r="I419" s="10" t="s">
        <v>387</v>
      </c>
      <c r="K419" s="4">
        <v>-7</v>
      </c>
      <c r="L419" s="4">
        <f>2*2.096</f>
        <v>4.192</v>
      </c>
      <c r="M419" s="4">
        <v>27244</v>
      </c>
      <c r="N419" s="4">
        <f>2*3171.3</f>
        <v>6342.6</v>
      </c>
      <c r="O419" s="4">
        <v>62.09</v>
      </c>
      <c r="Q419" s="4">
        <v>19.47</v>
      </c>
      <c r="R419" s="10"/>
      <c r="T419" s="4">
        <v>2.53</v>
      </c>
      <c r="U419" s="4">
        <v>10.64</v>
      </c>
      <c r="V419" s="4">
        <v>4.25</v>
      </c>
      <c r="W419" s="10">
        <v>1.02</v>
      </c>
      <c r="Y419" s="4">
        <v>100</v>
      </c>
      <c r="Z419" s="14" t="s">
        <v>356</v>
      </c>
    </row>
    <row r="420" spans="1:26" ht="12.75">
      <c r="A420">
        <v>416</v>
      </c>
      <c r="R420" s="10"/>
      <c r="W420" s="10"/>
      <c r="Z420" s="4"/>
    </row>
    <row r="421" spans="1:26" ht="12.75">
      <c r="A421">
        <v>417</v>
      </c>
      <c r="B421" s="4" t="s">
        <v>104</v>
      </c>
      <c r="C421" s="4" t="s">
        <v>460</v>
      </c>
      <c r="D421" s="4" t="s">
        <v>130</v>
      </c>
      <c r="E421" s="4" t="s">
        <v>241</v>
      </c>
      <c r="F421" s="4">
        <v>0.0001</v>
      </c>
      <c r="K421" s="4">
        <v>-11.53</v>
      </c>
      <c r="L421" s="4">
        <f>2*0.6517</f>
        <v>1.3034</v>
      </c>
      <c r="M421" s="4">
        <v>23495</v>
      </c>
      <c r="N421" s="4">
        <f>2*804</f>
        <v>1608</v>
      </c>
      <c r="O421" s="4">
        <f>0.5*(66.6+65.7)</f>
        <v>66.15</v>
      </c>
      <c r="Q421" s="4">
        <f>0.5*(9.28+9.96)</f>
        <v>9.620000000000001</v>
      </c>
      <c r="R421" s="10"/>
      <c r="V421" s="4">
        <f>0.5*(20.47+20.71)</f>
        <v>20.59</v>
      </c>
      <c r="W421" s="10">
        <f>0.5*(3.65+3.63)</f>
        <v>3.6399999999999997</v>
      </c>
      <c r="Y421" s="4">
        <v>100</v>
      </c>
      <c r="Z421" s="4" t="s">
        <v>435</v>
      </c>
    </row>
    <row r="422" spans="1:26" ht="12.75">
      <c r="A422">
        <v>418</v>
      </c>
      <c r="B422" s="4" t="s">
        <v>128</v>
      </c>
      <c r="C422" s="4" t="s">
        <v>460</v>
      </c>
      <c r="D422" s="4" t="s">
        <v>130</v>
      </c>
      <c r="E422" s="4" t="s">
        <v>596</v>
      </c>
      <c r="F422" s="4">
        <v>0.0001</v>
      </c>
      <c r="K422" s="4">
        <v>-11.95</v>
      </c>
      <c r="L422" s="4">
        <f>2*6.0044</f>
        <v>12.0088</v>
      </c>
      <c r="M422" s="4">
        <v>33296</v>
      </c>
      <c r="N422" s="4">
        <f>2*9889.3</f>
        <v>19778.6</v>
      </c>
      <c r="O422">
        <v>79.425</v>
      </c>
      <c r="P422"/>
      <c r="Q422">
        <v>11.64</v>
      </c>
      <c r="R422"/>
      <c r="S422"/>
      <c r="T422"/>
      <c r="U422"/>
      <c r="V422">
        <v>4.77</v>
      </c>
      <c r="W422">
        <v>4.165</v>
      </c>
      <c r="X422"/>
      <c r="Y422">
        <v>100</v>
      </c>
      <c r="Z422" t="s">
        <v>435</v>
      </c>
    </row>
    <row r="423" spans="1:26" ht="12.75">
      <c r="A423">
        <v>419</v>
      </c>
      <c r="R423" s="10"/>
      <c r="W423" s="10"/>
      <c r="Z423" s="4"/>
    </row>
    <row r="424" spans="1:26" ht="12.75">
      <c r="A424">
        <v>420</v>
      </c>
      <c r="B424" s="4" t="s">
        <v>153</v>
      </c>
      <c r="C424" s="4" t="s">
        <v>381</v>
      </c>
      <c r="D424" s="4" t="s">
        <v>83</v>
      </c>
      <c r="E424" s="4" t="s">
        <v>363</v>
      </c>
      <c r="F424" s="4">
        <v>0.0001</v>
      </c>
      <c r="K424" s="4">
        <v>-13.53</v>
      </c>
      <c r="L424" s="4">
        <f>2*6.13</f>
        <v>12.26</v>
      </c>
      <c r="M424" s="4">
        <v>16182</v>
      </c>
      <c r="N424" s="4">
        <f>2*9786.4</f>
        <v>19572.8</v>
      </c>
      <c r="O424" s="10">
        <v>45.89</v>
      </c>
      <c r="P424" s="10">
        <v>3.72</v>
      </c>
      <c r="Q424" s="10">
        <v>16.55</v>
      </c>
      <c r="R424" s="10">
        <v>11.759</v>
      </c>
      <c r="S424" s="10">
        <v>0.18</v>
      </c>
      <c r="T424" s="10">
        <v>6.3</v>
      </c>
      <c r="U424" s="10">
        <v>9.62</v>
      </c>
      <c r="V424" s="10">
        <v>3.72</v>
      </c>
      <c r="W424" s="10">
        <v>1.66</v>
      </c>
      <c r="X424" s="10">
        <v>0.52</v>
      </c>
      <c r="Y424" s="10">
        <v>99.919</v>
      </c>
      <c r="Z424" s="4" t="s">
        <v>510</v>
      </c>
    </row>
    <row r="425" spans="1:26" ht="12.75">
      <c r="A425">
        <v>421</v>
      </c>
      <c r="B425" s="4" t="s">
        <v>167</v>
      </c>
      <c r="C425" s="4" t="s">
        <v>394</v>
      </c>
      <c r="D425" s="4" t="s">
        <v>83</v>
      </c>
      <c r="E425" s="4" t="s">
        <v>364</v>
      </c>
      <c r="F425" s="4">
        <v>0.0001</v>
      </c>
      <c r="K425" s="4">
        <v>-6.8</v>
      </c>
      <c r="L425" s="4">
        <f>2*0.9868</f>
        <v>1.9736</v>
      </c>
      <c r="M425" s="4">
        <f>29409</f>
        <v>29409</v>
      </c>
      <c r="N425" s="4">
        <f>2*1601.72</f>
        <v>3203.44</v>
      </c>
      <c r="O425" s="10">
        <v>57.76</v>
      </c>
      <c r="P425" s="10">
        <v>0.85</v>
      </c>
      <c r="Q425" s="10">
        <v>19.14</v>
      </c>
      <c r="R425" s="10">
        <v>6.281</v>
      </c>
      <c r="S425" s="10">
        <v>0.11</v>
      </c>
      <c r="T425" s="10">
        <v>3.45</v>
      </c>
      <c r="U425" s="10">
        <v>6.27</v>
      </c>
      <c r="V425" s="10">
        <v>4.31</v>
      </c>
      <c r="W425" s="10">
        <v>1.79</v>
      </c>
      <c r="X425" s="10">
        <v>0.2</v>
      </c>
      <c r="Y425" s="10">
        <v>100.161</v>
      </c>
      <c r="Z425" s="4" t="s">
        <v>510</v>
      </c>
    </row>
    <row r="426" spans="1:26" ht="12.75">
      <c r="A426">
        <v>422</v>
      </c>
      <c r="B426" s="4" t="s">
        <v>113</v>
      </c>
      <c r="C426" s="4" t="s">
        <v>394</v>
      </c>
      <c r="D426" s="4" t="s">
        <v>83</v>
      </c>
      <c r="E426" s="4" t="s">
        <v>365</v>
      </c>
      <c r="F426" s="4">
        <v>0.0001</v>
      </c>
      <c r="K426" s="4">
        <v>-10.59</v>
      </c>
      <c r="L426" s="4">
        <f>2*2.4274</f>
        <v>4.8548</v>
      </c>
      <c r="M426" s="4">
        <f>25306</f>
        <v>25306</v>
      </c>
      <c r="N426" s="4">
        <f>2*3923.503</f>
        <v>7847.006</v>
      </c>
      <c r="O426" s="10">
        <v>69</v>
      </c>
      <c r="P426" s="10">
        <v>1.02</v>
      </c>
      <c r="Q426" s="10">
        <v>13.11</v>
      </c>
      <c r="R426" s="10">
        <v>5.3</v>
      </c>
      <c r="S426" s="10">
        <v>0.13</v>
      </c>
      <c r="T426" s="10">
        <v>1</v>
      </c>
      <c r="U426" s="10">
        <v>2.7</v>
      </c>
      <c r="V426" s="10">
        <v>4.21</v>
      </c>
      <c r="W426" s="10">
        <v>2.72</v>
      </c>
      <c r="X426" s="10">
        <v>0.24</v>
      </c>
      <c r="Y426" s="10">
        <v>99.43</v>
      </c>
      <c r="Z426" s="4" t="s">
        <v>531</v>
      </c>
    </row>
    <row r="427" spans="1:26" ht="12.75">
      <c r="A427">
        <v>423</v>
      </c>
      <c r="B427" s="4" t="s">
        <v>114</v>
      </c>
      <c r="C427" s="4" t="s">
        <v>394</v>
      </c>
      <c r="D427" s="4" t="s">
        <v>83</v>
      </c>
      <c r="E427" s="4" t="s">
        <v>337</v>
      </c>
      <c r="F427" s="4">
        <v>0.0001</v>
      </c>
      <c r="K427" s="4">
        <v>-8.34</v>
      </c>
      <c r="L427" s="4" t="s">
        <v>256</v>
      </c>
      <c r="M427" s="4">
        <v>22728</v>
      </c>
      <c r="N427" s="4" t="s">
        <v>256</v>
      </c>
      <c r="O427" s="10">
        <v>69.2</v>
      </c>
      <c r="P427" s="10">
        <v>0.44</v>
      </c>
      <c r="Q427" s="10">
        <v>10.75</v>
      </c>
      <c r="R427" s="10">
        <v>8.5</v>
      </c>
      <c r="S427" s="10">
        <v>0.3</v>
      </c>
      <c r="T427" s="10">
        <v>0.11</v>
      </c>
      <c r="U427" s="10">
        <v>0.56</v>
      </c>
      <c r="V427" s="10">
        <v>6.32</v>
      </c>
      <c r="W427" s="10">
        <v>4.14</v>
      </c>
      <c r="X427" s="10">
        <v>0.02</v>
      </c>
      <c r="Y427" s="10">
        <v>100.34</v>
      </c>
      <c r="Z427" s="4" t="s">
        <v>531</v>
      </c>
    </row>
    <row r="428" spans="1:27" ht="12.75">
      <c r="A428">
        <v>424</v>
      </c>
      <c r="B428" s="4" t="s">
        <v>119</v>
      </c>
      <c r="C428" s="4" t="s">
        <v>446</v>
      </c>
      <c r="D428" s="4" t="s">
        <v>581</v>
      </c>
      <c r="E428" s="4" t="s">
        <v>623</v>
      </c>
      <c r="F428" s="4" t="s">
        <v>649</v>
      </c>
      <c r="K428" s="4">
        <v>-14.02</v>
      </c>
      <c r="L428" s="4">
        <f>2*4.8656</f>
        <v>9.7312</v>
      </c>
      <c r="M428" s="4">
        <v>23122</v>
      </c>
      <c r="N428" s="4">
        <f>2*6701</f>
        <v>13402</v>
      </c>
      <c r="O428" s="10">
        <f>0.5*(71.56+73.61)</f>
        <v>72.58500000000001</v>
      </c>
      <c r="P428" s="10">
        <f>0.5*(0.26+0.11)</f>
        <v>0.185</v>
      </c>
      <c r="Q428" s="10">
        <f>0.5*(7.69+12.65)</f>
        <v>10.17</v>
      </c>
      <c r="R428" s="10">
        <f>0.5*(8.06+0.67)</f>
        <v>4.365</v>
      </c>
      <c r="S428" s="10">
        <f>0.5*(0.32+0.08)</f>
        <v>0.2</v>
      </c>
      <c r="T428" s="10">
        <f>0.5*(0.01+0.06)</f>
        <v>0.034999999999999996</v>
      </c>
      <c r="U428" s="10">
        <f>0.5*(0.27+0.52)</f>
        <v>0.395</v>
      </c>
      <c r="V428" s="10">
        <f>0.5*(7.11+6.87)</f>
        <v>6.99</v>
      </c>
      <c r="W428" s="10">
        <f>0.5*(4.25+4.54)</f>
        <v>4.395</v>
      </c>
      <c r="X428" s="13">
        <v>0</v>
      </c>
      <c r="Y428" s="13">
        <f>SUM(O428:X428)</f>
        <v>99.32</v>
      </c>
      <c r="Z428" s="6" t="s">
        <v>419</v>
      </c>
      <c r="AA428" s="2"/>
    </row>
    <row r="429" spans="1:26" ht="12.75">
      <c r="A429">
        <v>425</v>
      </c>
      <c r="B429" s="4" t="s">
        <v>622</v>
      </c>
      <c r="C429" s="4" t="s">
        <v>446</v>
      </c>
      <c r="D429" s="4" t="s">
        <v>86</v>
      </c>
      <c r="E429" s="4" t="s">
        <v>625</v>
      </c>
      <c r="F429" s="4" t="s">
        <v>624</v>
      </c>
      <c r="K429" s="8" t="s">
        <v>626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3"/>
      <c r="Y429" s="13"/>
      <c r="Z429" s="6" t="s">
        <v>151</v>
      </c>
    </row>
    <row r="430" spans="1:26" ht="12.75">
      <c r="A430">
        <v>426</v>
      </c>
      <c r="O430" s="10"/>
      <c r="P430" s="10"/>
      <c r="Q430" s="10"/>
      <c r="R430" s="10"/>
      <c r="S430" s="10"/>
      <c r="T430" s="10"/>
      <c r="U430" s="10"/>
      <c r="V430" s="10"/>
      <c r="W430" s="10"/>
      <c r="X430" s="13"/>
      <c r="Y430" s="13"/>
      <c r="Z430" s="6"/>
    </row>
    <row r="431" spans="1:26" ht="12.75">
      <c r="A431">
        <v>427</v>
      </c>
      <c r="B431" s="4" t="s">
        <v>153</v>
      </c>
      <c r="C431" s="4" t="s">
        <v>504</v>
      </c>
      <c r="D431" s="4" t="s">
        <v>83</v>
      </c>
      <c r="E431" s="4" t="s">
        <v>680</v>
      </c>
      <c r="F431" s="4">
        <v>0.0001</v>
      </c>
      <c r="G431" s="4">
        <v>4.32</v>
      </c>
      <c r="K431" s="4">
        <v>-4.76</v>
      </c>
      <c r="L431" s="4">
        <f>2*2.144</f>
        <v>4.288</v>
      </c>
      <c r="M431" s="4">
        <v>31936</v>
      </c>
      <c r="N431" s="4">
        <f>2*3491.72</f>
        <v>6983.44</v>
      </c>
      <c r="O431" s="10">
        <v>45.89</v>
      </c>
      <c r="P431" s="10">
        <v>3.72</v>
      </c>
      <c r="Q431" s="10">
        <v>16.55</v>
      </c>
      <c r="R431" s="10">
        <v>11.759</v>
      </c>
      <c r="S431" s="10">
        <v>0.18</v>
      </c>
      <c r="T431" s="10">
        <v>6.3</v>
      </c>
      <c r="U431" s="10">
        <v>9.62</v>
      </c>
      <c r="V431" s="10">
        <v>3.72</v>
      </c>
      <c r="W431" s="10">
        <v>1.66</v>
      </c>
      <c r="X431" s="10">
        <v>0.52</v>
      </c>
      <c r="Y431" s="10">
        <v>99.919</v>
      </c>
      <c r="Z431" s="6" t="s">
        <v>705</v>
      </c>
    </row>
    <row r="432" spans="1:26" ht="12.75">
      <c r="A432">
        <v>428</v>
      </c>
      <c r="B432" s="4" t="s">
        <v>167</v>
      </c>
      <c r="C432" s="4" t="s">
        <v>504</v>
      </c>
      <c r="D432" s="4" t="s">
        <v>83</v>
      </c>
      <c r="E432" s="4" t="s">
        <v>681</v>
      </c>
      <c r="F432" s="4">
        <v>0.0001</v>
      </c>
      <c r="G432" s="4">
        <v>4.32</v>
      </c>
      <c r="K432" s="4">
        <v>-5.74</v>
      </c>
      <c r="L432" s="4">
        <f>2*0.79</f>
        <v>1.58</v>
      </c>
      <c r="M432" s="4">
        <v>32950</v>
      </c>
      <c r="N432" s="4">
        <f>2*1288</f>
        <v>2576</v>
      </c>
      <c r="O432" s="10">
        <v>57.76</v>
      </c>
      <c r="P432" s="10">
        <v>0.85</v>
      </c>
      <c r="Q432" s="10">
        <v>19.14</v>
      </c>
      <c r="R432" s="10">
        <v>6.281</v>
      </c>
      <c r="S432" s="10">
        <v>0.11</v>
      </c>
      <c r="T432" s="10">
        <v>3.45</v>
      </c>
      <c r="U432" s="10">
        <v>6.27</v>
      </c>
      <c r="V432" s="10">
        <v>4.31</v>
      </c>
      <c r="W432" s="10">
        <v>1.79</v>
      </c>
      <c r="X432" s="10">
        <v>0.2</v>
      </c>
      <c r="Y432" s="10">
        <v>100.161</v>
      </c>
      <c r="Z432" s="6" t="s">
        <v>705</v>
      </c>
    </row>
    <row r="433" spans="1:27" ht="12.75">
      <c r="A433">
        <v>429</v>
      </c>
      <c r="B433" s="4" t="s">
        <v>176</v>
      </c>
      <c r="C433" s="4" t="s">
        <v>504</v>
      </c>
      <c r="D433" s="4" t="s">
        <v>130</v>
      </c>
      <c r="E433" s="4" t="s">
        <v>336</v>
      </c>
      <c r="F433" s="4">
        <v>0.5</v>
      </c>
      <c r="I433" s="10" t="s">
        <v>335</v>
      </c>
      <c r="K433" s="4">
        <v>-7.83</v>
      </c>
      <c r="L433" s="4">
        <f>2*3.42</f>
        <v>6.84</v>
      </c>
      <c r="M433" s="4">
        <v>24421</v>
      </c>
      <c r="N433" s="4">
        <f>2*5026.4</f>
        <v>10052.8</v>
      </c>
      <c r="O433" s="10">
        <v>62.09</v>
      </c>
      <c r="P433" s="10"/>
      <c r="Q433" s="10">
        <v>19.47</v>
      </c>
      <c r="R433" s="10"/>
      <c r="S433" s="10"/>
      <c r="T433" s="10">
        <v>2.53</v>
      </c>
      <c r="U433" s="10">
        <v>10.64</v>
      </c>
      <c r="V433" s="10">
        <v>4.25</v>
      </c>
      <c r="W433" s="10">
        <v>1.02</v>
      </c>
      <c r="X433" s="10"/>
      <c r="Y433" s="10">
        <v>100</v>
      </c>
      <c r="Z433" s="6" t="s">
        <v>629</v>
      </c>
      <c r="AA433" s="2"/>
    </row>
    <row r="434" spans="1:26" ht="12.75">
      <c r="A434">
        <v>430</v>
      </c>
      <c r="B434" s="4" t="s">
        <v>113</v>
      </c>
      <c r="C434" s="4" t="s">
        <v>504</v>
      </c>
      <c r="D434" s="4" t="s">
        <v>83</v>
      </c>
      <c r="E434" s="4" t="s">
        <v>717</v>
      </c>
      <c r="F434" s="4">
        <v>0.0001</v>
      </c>
      <c r="G434" s="4">
        <v>4.32</v>
      </c>
      <c r="K434" s="4">
        <v>-14.35</v>
      </c>
      <c r="L434" s="4">
        <f>2*1.62</f>
        <v>3.24</v>
      </c>
      <c r="M434" s="4">
        <v>21301</v>
      </c>
      <c r="N434" s="4">
        <f>2*2630</f>
        <v>5260</v>
      </c>
      <c r="O434" s="10">
        <v>69</v>
      </c>
      <c r="P434" s="10">
        <v>1.02</v>
      </c>
      <c r="Q434" s="10">
        <v>13.11</v>
      </c>
      <c r="R434" s="10">
        <v>5.3</v>
      </c>
      <c r="S434" s="10">
        <v>0.13</v>
      </c>
      <c r="T434" s="10">
        <v>1</v>
      </c>
      <c r="U434" s="10">
        <v>2.7</v>
      </c>
      <c r="V434" s="10">
        <v>4.21</v>
      </c>
      <c r="W434" s="10">
        <v>2.72</v>
      </c>
      <c r="X434" s="10">
        <v>0.24</v>
      </c>
      <c r="Y434" s="10">
        <v>99.43</v>
      </c>
      <c r="Z434" s="4" t="s">
        <v>531</v>
      </c>
    </row>
    <row r="435" spans="1:26" ht="12.75">
      <c r="A435">
        <v>431</v>
      </c>
      <c r="B435" s="4" t="s">
        <v>4</v>
      </c>
      <c r="C435" s="4" t="s">
        <v>504</v>
      </c>
      <c r="D435" s="4" t="s">
        <v>83</v>
      </c>
      <c r="E435" s="4" t="s">
        <v>680</v>
      </c>
      <c r="F435" s="4">
        <v>0.0001</v>
      </c>
      <c r="G435" s="4">
        <v>4.32</v>
      </c>
      <c r="K435" s="8" t="s">
        <v>300</v>
      </c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6" t="s">
        <v>151</v>
      </c>
    </row>
    <row r="436" spans="1:26" ht="12.75">
      <c r="A436">
        <v>432</v>
      </c>
      <c r="B436" s="4" t="s">
        <v>114</v>
      </c>
      <c r="C436" s="4" t="s">
        <v>504</v>
      </c>
      <c r="D436" s="4" t="s">
        <v>83</v>
      </c>
      <c r="E436" s="4" t="s">
        <v>718</v>
      </c>
      <c r="F436" s="4">
        <v>0.0001</v>
      </c>
      <c r="G436" s="4">
        <v>4.32</v>
      </c>
      <c r="K436" s="4">
        <v>3.5</v>
      </c>
      <c r="L436" s="4">
        <f>2*3.90496</f>
        <v>7.80992</v>
      </c>
      <c r="M436" s="4">
        <v>50497</v>
      </c>
      <c r="N436" s="4">
        <f>2*5940.4</f>
        <v>11880.8</v>
      </c>
      <c r="O436" s="10">
        <v>69.2</v>
      </c>
      <c r="P436" s="10">
        <v>0.44</v>
      </c>
      <c r="Q436" s="10">
        <v>10.75</v>
      </c>
      <c r="R436" s="10">
        <v>8.5</v>
      </c>
      <c r="S436" s="10">
        <v>0.3</v>
      </c>
      <c r="T436" s="10">
        <v>0.11</v>
      </c>
      <c r="U436" s="10">
        <v>0.56</v>
      </c>
      <c r="V436" s="10">
        <v>6.32</v>
      </c>
      <c r="W436" s="10">
        <v>4.14</v>
      </c>
      <c r="X436" s="10">
        <v>0.02</v>
      </c>
      <c r="Y436" s="10">
        <v>100.34</v>
      </c>
      <c r="Z436" s="4" t="s">
        <v>531</v>
      </c>
    </row>
    <row r="437" spans="1:26" ht="12.75">
      <c r="A437">
        <v>433</v>
      </c>
      <c r="B437" s="4" t="s">
        <v>719</v>
      </c>
      <c r="C437" s="4" t="s">
        <v>504</v>
      </c>
      <c r="D437" s="4" t="s">
        <v>83</v>
      </c>
      <c r="E437" s="4" t="s">
        <v>714</v>
      </c>
      <c r="F437" s="4">
        <v>0.0001</v>
      </c>
      <c r="G437" s="4">
        <v>4.32</v>
      </c>
      <c r="K437" s="4">
        <v>1.65</v>
      </c>
      <c r="L437" s="4">
        <f>2*2.7652</f>
        <v>5.5304</v>
      </c>
      <c r="M437" s="4">
        <v>47461</v>
      </c>
      <c r="N437" s="4">
        <f>2*4353</f>
        <v>8706</v>
      </c>
      <c r="Z437" s="6" t="s">
        <v>151</v>
      </c>
    </row>
    <row r="438" spans="1:26" ht="12.75">
      <c r="A438">
        <v>434</v>
      </c>
      <c r="B438" s="4" t="s">
        <v>115</v>
      </c>
      <c r="C438" s="4" t="s">
        <v>183</v>
      </c>
      <c r="D438" s="4" t="s">
        <v>130</v>
      </c>
      <c r="E438" s="4" t="s">
        <v>716</v>
      </c>
      <c r="F438" s="4">
        <v>0.0001</v>
      </c>
      <c r="K438" s="4">
        <v>-9.33</v>
      </c>
      <c r="L438" s="4">
        <f>2*2.143</f>
        <v>4.286</v>
      </c>
      <c r="M438" s="4">
        <v>30840</v>
      </c>
      <c r="N438" s="4">
        <f>2*3408.4</f>
        <v>6816.8</v>
      </c>
      <c r="O438" s="10">
        <f>0.5*(72+71.1)</f>
        <v>71.55</v>
      </c>
      <c r="P438" s="10"/>
      <c r="Q438" s="10">
        <f>0.5*(19.2+19)</f>
        <v>19.1</v>
      </c>
      <c r="R438" s="10">
        <f>0.5*(0+1.25)</f>
        <v>0.625</v>
      </c>
      <c r="S438" s="10"/>
      <c r="T438" s="10"/>
      <c r="U438" s="10"/>
      <c r="V438" s="10">
        <f>0.5*(8.8+8.7)</f>
        <v>8.75</v>
      </c>
      <c r="W438" s="10"/>
      <c r="X438" s="10"/>
      <c r="Y438" s="10">
        <v>100</v>
      </c>
      <c r="Z438" s="6" t="s">
        <v>621</v>
      </c>
    </row>
    <row r="439" spans="1:26" ht="12.75">
      <c r="A439">
        <v>435</v>
      </c>
      <c r="B439" s="4" t="s">
        <v>115</v>
      </c>
      <c r="C439" s="4" t="s">
        <v>183</v>
      </c>
      <c r="D439" s="4" t="s">
        <v>130</v>
      </c>
      <c r="E439" s="4" t="s">
        <v>440</v>
      </c>
      <c r="F439" s="4" t="s">
        <v>334</v>
      </c>
      <c r="K439" s="4">
        <v>-10.31</v>
      </c>
      <c r="L439" s="4">
        <f>2*2.057</f>
        <v>4.114</v>
      </c>
      <c r="M439" s="4">
        <v>26767</v>
      </c>
      <c r="N439" s="4">
        <f>2*3371</f>
        <v>6742</v>
      </c>
      <c r="O439" s="10">
        <f>0.5*(72+71.1)</f>
        <v>71.55</v>
      </c>
      <c r="P439" s="10"/>
      <c r="Q439" s="10">
        <f>0.5*(19.2+19)</f>
        <v>19.1</v>
      </c>
      <c r="R439" s="10">
        <f>0.5*(0+1.25)</f>
        <v>0.625</v>
      </c>
      <c r="S439" s="10"/>
      <c r="T439" s="10"/>
      <c r="U439" s="10"/>
      <c r="V439" s="10">
        <f>0.5*(8.8+8.7)</f>
        <v>8.75</v>
      </c>
      <c r="W439" s="10"/>
      <c r="X439" s="10"/>
      <c r="Y439" s="10">
        <v>100</v>
      </c>
      <c r="Z439" s="6" t="s">
        <v>621</v>
      </c>
    </row>
    <row r="440" spans="1:26" ht="12.75">
      <c r="A440">
        <v>436</v>
      </c>
      <c r="B440" s="4" t="s">
        <v>119</v>
      </c>
      <c r="C440" s="4" t="s">
        <v>504</v>
      </c>
      <c r="D440" s="4" t="s">
        <v>581</v>
      </c>
      <c r="E440" s="4" t="s">
        <v>715</v>
      </c>
      <c r="F440" s="4" t="s">
        <v>649</v>
      </c>
      <c r="K440" s="4">
        <v>-15.15</v>
      </c>
      <c r="L440" s="4">
        <f>2*1</f>
        <v>2</v>
      </c>
      <c r="M440" s="4">
        <v>22245</v>
      </c>
      <c r="N440" s="4">
        <f>2*1329</f>
        <v>2658</v>
      </c>
      <c r="O440" s="10">
        <f>0.5*(71.56+73.61)</f>
        <v>72.58500000000001</v>
      </c>
      <c r="P440" s="10">
        <f>0.5*(0.26+0.11)</f>
        <v>0.185</v>
      </c>
      <c r="Q440" s="10">
        <f>0.5*(7.69+12.65)</f>
        <v>10.17</v>
      </c>
      <c r="R440" s="10">
        <f>0.5*(8.06+0.67)</f>
        <v>4.365</v>
      </c>
      <c r="S440" s="10">
        <f>0.5*(0.32+0.08)</f>
        <v>0.2</v>
      </c>
      <c r="T440" s="10">
        <f>0.5*(0.01+0.06)</f>
        <v>0.034999999999999996</v>
      </c>
      <c r="U440" s="10">
        <f>0.5*(0.27+0.52)</f>
        <v>0.395</v>
      </c>
      <c r="V440" s="10">
        <f>0.5*(7.11+6.87)</f>
        <v>6.99</v>
      </c>
      <c r="W440" s="10">
        <f>0.5*(4.25+4.54)</f>
        <v>4.395</v>
      </c>
      <c r="X440" s="13">
        <v>0</v>
      </c>
      <c r="Y440" s="13">
        <f>SUM(O440:X440)</f>
        <v>99.32</v>
      </c>
      <c r="Z440" s="6" t="s">
        <v>419</v>
      </c>
    </row>
    <row r="441" ht="12.75">
      <c r="A441">
        <v>437</v>
      </c>
    </row>
    <row r="442" spans="1:26" ht="12.75">
      <c r="A442">
        <v>438</v>
      </c>
      <c r="B442" s="4" t="s">
        <v>153</v>
      </c>
      <c r="C442" s="4" t="s">
        <v>570</v>
      </c>
      <c r="D442" s="4" t="s">
        <v>83</v>
      </c>
      <c r="E442" s="4" t="s">
        <v>571</v>
      </c>
      <c r="F442" s="4">
        <v>0.0001</v>
      </c>
      <c r="K442" s="4">
        <v>-9</v>
      </c>
      <c r="L442" s="4">
        <f>2*1.2868</f>
        <v>2.5736</v>
      </c>
      <c r="M442" s="4">
        <v>23672</v>
      </c>
      <c r="N442" s="4">
        <f>2*2085.7</f>
        <v>4171.4</v>
      </c>
      <c r="O442" s="4">
        <v>45.89</v>
      </c>
      <c r="P442" s="4">
        <v>3.72</v>
      </c>
      <c r="Q442" s="4">
        <v>16.55</v>
      </c>
      <c r="R442" s="10">
        <f>3.02+9.71*0.9</f>
        <v>11.759</v>
      </c>
      <c r="S442" s="4">
        <v>0.18</v>
      </c>
      <c r="T442" s="4">
        <v>6.3</v>
      </c>
      <c r="U442" s="4">
        <v>9.62</v>
      </c>
      <c r="V442" s="4">
        <v>3.72</v>
      </c>
      <c r="W442" s="10">
        <v>1.66</v>
      </c>
      <c r="X442" s="4">
        <v>0.52</v>
      </c>
      <c r="Y442" s="9">
        <f>SUM(O442:X442)</f>
        <v>99.919</v>
      </c>
      <c r="Z442" s="4" t="s">
        <v>510</v>
      </c>
    </row>
    <row r="443" spans="1:26" ht="12.75">
      <c r="A443">
        <v>439</v>
      </c>
      <c r="B443" s="4" t="s">
        <v>162</v>
      </c>
      <c r="C443" s="4" t="s">
        <v>570</v>
      </c>
      <c r="D443" s="4" t="s">
        <v>83</v>
      </c>
      <c r="E443" s="4" t="s">
        <v>221</v>
      </c>
      <c r="F443" s="4">
        <v>0.0001</v>
      </c>
      <c r="K443" s="4">
        <v>-11.86</v>
      </c>
      <c r="L443" s="4">
        <f>2*0.37</f>
        <v>0.74</v>
      </c>
      <c r="M443" s="4">
        <v>18736</v>
      </c>
      <c r="N443" s="4">
        <f>2*598.3</f>
        <v>1196.6</v>
      </c>
      <c r="O443" s="4">
        <v>49.68</v>
      </c>
      <c r="P443" s="4">
        <v>2.59</v>
      </c>
      <c r="Q443" s="4">
        <v>12.7</v>
      </c>
      <c r="R443" s="4">
        <v>11.05</v>
      </c>
      <c r="S443" s="4">
        <v>0.17</v>
      </c>
      <c r="T443" s="4">
        <v>9.46</v>
      </c>
      <c r="U443" s="4">
        <v>10.79</v>
      </c>
      <c r="V443" s="4">
        <v>2.31</v>
      </c>
      <c r="W443" s="4">
        <v>0.48</v>
      </c>
      <c r="Y443" s="4">
        <v>99.3</v>
      </c>
      <c r="Z443" s="14" t="s">
        <v>207</v>
      </c>
    </row>
    <row r="444" spans="1:26" ht="12.75">
      <c r="A444">
        <v>440</v>
      </c>
      <c r="B444" s="4" t="s">
        <v>687</v>
      </c>
      <c r="C444" s="4" t="s">
        <v>570</v>
      </c>
      <c r="D444" s="4" t="s">
        <v>83</v>
      </c>
      <c r="E444" s="4" t="s">
        <v>221</v>
      </c>
      <c r="F444" s="4">
        <v>0.0001</v>
      </c>
      <c r="K444" s="4">
        <v>-11.05</v>
      </c>
      <c r="L444" s="4">
        <f>2*1.1448</f>
        <v>2.2896</v>
      </c>
      <c r="M444" s="4">
        <v>20211</v>
      </c>
      <c r="N444" s="4">
        <f>2*1853</f>
        <v>3706</v>
      </c>
      <c r="Z444" s="6" t="s">
        <v>151</v>
      </c>
    </row>
    <row r="445" spans="1:26" ht="12.75">
      <c r="A445">
        <v>441</v>
      </c>
      <c r="B445" s="4" t="s">
        <v>167</v>
      </c>
      <c r="C445" s="4" t="s">
        <v>570</v>
      </c>
      <c r="D445" s="4" t="s">
        <v>83</v>
      </c>
      <c r="E445" s="4" t="s">
        <v>572</v>
      </c>
      <c r="F445" s="4">
        <v>0.0001</v>
      </c>
      <c r="K445" s="4">
        <v>-4.34</v>
      </c>
      <c r="L445" s="4">
        <f>2*1.7747</f>
        <v>3.5494</v>
      </c>
      <c r="M445" s="4">
        <v>33550</v>
      </c>
      <c r="N445" s="4">
        <f>2*2866.56</f>
        <v>5733.12</v>
      </c>
      <c r="O445" s="4">
        <v>57.76</v>
      </c>
      <c r="P445" s="4">
        <v>0.85</v>
      </c>
      <c r="Q445" s="4">
        <v>19.14</v>
      </c>
      <c r="R445" s="10">
        <f>2.42+4.29*0.9</f>
        <v>6.281000000000001</v>
      </c>
      <c r="S445" s="4">
        <v>0.11</v>
      </c>
      <c r="T445" s="4">
        <v>3.45</v>
      </c>
      <c r="U445" s="4">
        <v>6.27</v>
      </c>
      <c r="V445" s="4">
        <v>4.31</v>
      </c>
      <c r="W445" s="10">
        <v>1.79</v>
      </c>
      <c r="X445" s="4">
        <v>0.2</v>
      </c>
      <c r="Y445" s="9">
        <f>SUM(O445:X445)</f>
        <v>100.16100000000002</v>
      </c>
      <c r="Z445" s="4" t="s">
        <v>510</v>
      </c>
    </row>
    <row r="446" spans="1:26" ht="12.75">
      <c r="A446">
        <v>442</v>
      </c>
      <c r="B446" s="4" t="s">
        <v>113</v>
      </c>
      <c r="C446" s="4" t="s">
        <v>570</v>
      </c>
      <c r="D446" s="4" t="s">
        <v>83</v>
      </c>
      <c r="E446" s="4" t="s">
        <v>178</v>
      </c>
      <c r="F446" s="4">
        <v>0.0001</v>
      </c>
      <c r="K446" s="4">
        <v>-13.97</v>
      </c>
      <c r="L446" s="4">
        <f>2*3.6194</f>
        <v>7.2388</v>
      </c>
      <c r="M446" s="4">
        <v>20002</v>
      </c>
      <c r="N446" s="4">
        <f>2*5872.257</f>
        <v>11744.514</v>
      </c>
      <c r="O446" s="4">
        <v>69</v>
      </c>
      <c r="P446" s="4">
        <v>1.02</v>
      </c>
      <c r="Q446" s="4">
        <v>13.11</v>
      </c>
      <c r="R446" s="10">
        <v>5.3</v>
      </c>
      <c r="S446" s="4">
        <v>0.13</v>
      </c>
      <c r="T446" s="4">
        <v>1</v>
      </c>
      <c r="U446" s="4">
        <v>2.7</v>
      </c>
      <c r="V446" s="4">
        <v>4.21</v>
      </c>
      <c r="W446" s="10">
        <v>2.72</v>
      </c>
      <c r="X446" s="4">
        <v>0.24</v>
      </c>
      <c r="Y446" s="4">
        <v>99.43</v>
      </c>
      <c r="Z446" s="4" t="s">
        <v>531</v>
      </c>
    </row>
    <row r="447" spans="1:26" ht="12.75">
      <c r="A447">
        <v>443</v>
      </c>
      <c r="B447" s="4" t="s">
        <v>114</v>
      </c>
      <c r="C447" s="4" t="s">
        <v>570</v>
      </c>
      <c r="D447" s="4" t="s">
        <v>83</v>
      </c>
      <c r="E447" s="4" t="s">
        <v>474</v>
      </c>
      <c r="F447" s="4">
        <v>0.0001</v>
      </c>
      <c r="K447" s="4">
        <v>-19.59</v>
      </c>
      <c r="L447" s="4" t="s">
        <v>256</v>
      </c>
      <c r="M447" s="4">
        <v>13337</v>
      </c>
      <c r="N447" s="4" t="s">
        <v>256</v>
      </c>
      <c r="O447" s="4">
        <v>69.2</v>
      </c>
      <c r="P447" s="4">
        <v>0.44</v>
      </c>
      <c r="Q447" s="4">
        <v>10.75</v>
      </c>
      <c r="R447" s="10">
        <v>8.5</v>
      </c>
      <c r="S447" s="4">
        <v>0.3</v>
      </c>
      <c r="T447" s="4">
        <v>0.11</v>
      </c>
      <c r="U447" s="4">
        <v>0.56</v>
      </c>
      <c r="V447" s="4">
        <v>6.32</v>
      </c>
      <c r="W447" s="10">
        <v>4.14</v>
      </c>
      <c r="X447" s="4">
        <v>0.02</v>
      </c>
      <c r="Y447" s="4">
        <v>100.34</v>
      </c>
      <c r="Z447" s="4" t="s">
        <v>531</v>
      </c>
    </row>
    <row r="448" spans="1:26" ht="12.75">
      <c r="A448">
        <v>444</v>
      </c>
      <c r="B448" s="4" t="s">
        <v>721</v>
      </c>
      <c r="C448" s="4" t="s">
        <v>570</v>
      </c>
      <c r="D448" s="4" t="s">
        <v>83</v>
      </c>
      <c r="E448" s="4" t="s">
        <v>722</v>
      </c>
      <c r="F448" s="4">
        <v>0.0001</v>
      </c>
      <c r="K448" s="8" t="s">
        <v>723</v>
      </c>
      <c r="R448" s="10"/>
      <c r="W448" s="10"/>
      <c r="Z448" s="6" t="s">
        <v>151</v>
      </c>
    </row>
    <row r="449" ht="12.75">
      <c r="A449">
        <v>445</v>
      </c>
    </row>
    <row r="450" spans="1:26" ht="12.75">
      <c r="A450">
        <v>446</v>
      </c>
      <c r="B450" s="4" t="s">
        <v>173</v>
      </c>
      <c r="C450" s="4" t="s">
        <v>343</v>
      </c>
      <c r="D450" s="4" t="s">
        <v>130</v>
      </c>
      <c r="F450" s="4">
        <v>0.5</v>
      </c>
      <c r="I450" s="10" t="s">
        <v>488</v>
      </c>
      <c r="K450" s="4">
        <v>-1.87</v>
      </c>
      <c r="L450" s="4">
        <f>2*3.09</f>
        <v>6.18</v>
      </c>
      <c r="M450" s="4">
        <v>37339</v>
      </c>
      <c r="N450" s="4">
        <f>2*4453.6</f>
        <v>8907.2</v>
      </c>
      <c r="O450" s="4">
        <v>59.8</v>
      </c>
      <c r="P450" s="4">
        <v>0.78</v>
      </c>
      <c r="Q450" s="4">
        <v>19.52</v>
      </c>
      <c r="R450" s="10">
        <v>2.95</v>
      </c>
      <c r="T450" s="4">
        <v>0.66</v>
      </c>
      <c r="U450" s="4">
        <v>3.86</v>
      </c>
      <c r="V450" s="4">
        <v>5.5</v>
      </c>
      <c r="W450" s="10">
        <v>7.31</v>
      </c>
      <c r="Y450" s="4">
        <v>100.38</v>
      </c>
      <c r="Z450" s="4" t="s">
        <v>391</v>
      </c>
    </row>
    <row r="451" spans="1:26" ht="12.75">
      <c r="A451">
        <v>447</v>
      </c>
      <c r="B451" s="4" t="s">
        <v>174</v>
      </c>
      <c r="C451" s="4" t="s">
        <v>343</v>
      </c>
      <c r="D451" s="4" t="s">
        <v>130</v>
      </c>
      <c r="F451" s="4">
        <v>0.5</v>
      </c>
      <c r="I451" s="10">
        <v>1.7</v>
      </c>
      <c r="K451" s="4">
        <v>-2.71</v>
      </c>
      <c r="L451" s="4">
        <f>2*5.459</f>
        <v>10.918</v>
      </c>
      <c r="M451" s="4">
        <v>31533</v>
      </c>
      <c r="N451" s="4">
        <f>2*8040.8</f>
        <v>16081.6</v>
      </c>
      <c r="O451" s="4">
        <v>59.8</v>
      </c>
      <c r="P451" s="4">
        <v>0.78</v>
      </c>
      <c r="Q451" s="4">
        <v>19.52</v>
      </c>
      <c r="R451" s="10">
        <v>2.95</v>
      </c>
      <c r="T451" s="4">
        <v>0.66</v>
      </c>
      <c r="U451" s="4">
        <v>3.86</v>
      </c>
      <c r="V451" s="4">
        <v>5.5</v>
      </c>
      <c r="W451" s="10">
        <v>7.31</v>
      </c>
      <c r="Y451" s="4">
        <v>100.38</v>
      </c>
      <c r="Z451" s="4" t="s">
        <v>391</v>
      </c>
    </row>
    <row r="452" spans="1:27" ht="12.75">
      <c r="A452">
        <v>448</v>
      </c>
      <c r="B452" s="4" t="s">
        <v>176</v>
      </c>
      <c r="C452" s="4" t="s">
        <v>343</v>
      </c>
      <c r="D452" s="4" t="s">
        <v>130</v>
      </c>
      <c r="F452" s="4">
        <v>0.5</v>
      </c>
      <c r="I452" s="10" t="s">
        <v>387</v>
      </c>
      <c r="K452" s="4">
        <v>-10.35</v>
      </c>
      <c r="L452" s="4">
        <f>2*1.25</f>
        <v>2.5</v>
      </c>
      <c r="M452" s="4">
        <v>21907</v>
      </c>
      <c r="N452" s="4">
        <f>2*1893*2</f>
        <v>7572</v>
      </c>
      <c r="O452" s="4">
        <v>62.09</v>
      </c>
      <c r="Q452" s="4">
        <v>19.47</v>
      </c>
      <c r="R452" s="10"/>
      <c r="T452" s="4">
        <v>2.53</v>
      </c>
      <c r="U452" s="4">
        <v>10.64</v>
      </c>
      <c r="V452" s="4">
        <v>4.25</v>
      </c>
      <c r="W452" s="10">
        <v>1.02</v>
      </c>
      <c r="Y452" s="9">
        <v>100</v>
      </c>
      <c r="Z452" s="14" t="s">
        <v>342</v>
      </c>
      <c r="AA452" s="2"/>
    </row>
    <row r="453" spans="1:26" ht="12.75">
      <c r="A453">
        <v>449</v>
      </c>
      <c r="B453" s="4" t="s">
        <v>99</v>
      </c>
      <c r="C453" s="4" t="s">
        <v>343</v>
      </c>
      <c r="D453" s="4" t="s">
        <v>130</v>
      </c>
      <c r="F453" s="4">
        <v>0.5</v>
      </c>
      <c r="I453" s="10" t="s">
        <v>441</v>
      </c>
      <c r="K453" s="4">
        <v>-10.6</v>
      </c>
      <c r="L453" s="4">
        <f>2*4.793</f>
        <v>9.586</v>
      </c>
      <c r="M453" s="4">
        <v>26134</v>
      </c>
      <c r="N453" s="4">
        <f>2*6796</f>
        <v>13592</v>
      </c>
      <c r="O453" s="4">
        <v>62.37</v>
      </c>
      <c r="P453" s="4">
        <v>0.48</v>
      </c>
      <c r="Q453" s="4">
        <v>18.61</v>
      </c>
      <c r="R453" s="10">
        <v>3.68</v>
      </c>
      <c r="T453" s="4">
        <v>0.24</v>
      </c>
      <c r="U453" s="4">
        <v>1.73</v>
      </c>
      <c r="V453" s="4">
        <v>5.43</v>
      </c>
      <c r="W453" s="10">
        <v>7.25</v>
      </c>
      <c r="Y453" s="4">
        <v>99.79</v>
      </c>
      <c r="Z453" s="4" t="s">
        <v>391</v>
      </c>
    </row>
    <row r="454" ht="12.75">
      <c r="A454">
        <v>450</v>
      </c>
    </row>
    <row r="455" spans="1:26" ht="12.75">
      <c r="A455">
        <v>451</v>
      </c>
      <c r="B455" s="4" t="s">
        <v>173</v>
      </c>
      <c r="C455" s="4" t="s">
        <v>425</v>
      </c>
      <c r="D455" s="4" t="s">
        <v>130</v>
      </c>
      <c r="E455" s="4" t="s">
        <v>384</v>
      </c>
      <c r="F455" s="4">
        <v>0.5</v>
      </c>
      <c r="I455" s="10" t="s">
        <v>488</v>
      </c>
      <c r="K455" s="4">
        <v>-6.43</v>
      </c>
      <c r="L455" s="4">
        <f>2*2.1594</f>
        <v>4.3188</v>
      </c>
      <c r="M455" s="4">
        <v>30138</v>
      </c>
      <c r="N455" s="4">
        <f>2*3138.3</f>
        <v>6276.6</v>
      </c>
      <c r="O455" s="4">
        <v>59.8</v>
      </c>
      <c r="P455" s="4">
        <v>0.78</v>
      </c>
      <c r="Q455" s="4">
        <v>19.52</v>
      </c>
      <c r="R455" s="10">
        <v>2.95</v>
      </c>
      <c r="T455" s="4">
        <v>0.66</v>
      </c>
      <c r="U455" s="4">
        <v>3.86</v>
      </c>
      <c r="V455" s="4">
        <v>5.5</v>
      </c>
      <c r="W455" s="10">
        <v>7.31</v>
      </c>
      <c r="Y455" s="4">
        <v>100.38</v>
      </c>
      <c r="Z455" s="4" t="s">
        <v>391</v>
      </c>
    </row>
    <row r="456" spans="1:27" ht="12.75">
      <c r="A456">
        <v>452</v>
      </c>
      <c r="B456" s="4" t="s">
        <v>176</v>
      </c>
      <c r="C456" s="4" t="s">
        <v>425</v>
      </c>
      <c r="D456" s="4" t="s">
        <v>130</v>
      </c>
      <c r="E456" s="4" t="s">
        <v>522</v>
      </c>
      <c r="F456" s="4">
        <v>0.5</v>
      </c>
      <c r="I456" s="10" t="s">
        <v>387</v>
      </c>
      <c r="K456" s="4">
        <v>-11.6</v>
      </c>
      <c r="L456" s="4">
        <f>2*0.578</f>
        <v>1.156</v>
      </c>
      <c r="M456" s="4">
        <v>18663</v>
      </c>
      <c r="N456" s="4">
        <f>2*874.6</f>
        <v>1749.2</v>
      </c>
      <c r="O456" s="4">
        <v>62.09</v>
      </c>
      <c r="Q456" s="4">
        <v>19.47</v>
      </c>
      <c r="R456" s="10"/>
      <c r="T456" s="4">
        <v>2.53</v>
      </c>
      <c r="U456" s="4">
        <v>10.64</v>
      </c>
      <c r="V456" s="4">
        <v>4.25</v>
      </c>
      <c r="W456" s="10">
        <v>1.02</v>
      </c>
      <c r="Y456" s="4">
        <v>100</v>
      </c>
      <c r="Z456" s="14" t="s">
        <v>356</v>
      </c>
      <c r="AA456" s="2"/>
    </row>
    <row r="457" spans="1:26" ht="12.75">
      <c r="A457">
        <v>453</v>
      </c>
      <c r="B457" s="4" t="s">
        <v>99</v>
      </c>
      <c r="C457" s="4" t="s">
        <v>425</v>
      </c>
      <c r="D457" s="4" t="s">
        <v>130</v>
      </c>
      <c r="E457" s="4" t="s">
        <v>353</v>
      </c>
      <c r="F457" s="4">
        <v>0.5</v>
      </c>
      <c r="I457" s="10" t="s">
        <v>441</v>
      </c>
      <c r="K457" s="4">
        <v>-18.06</v>
      </c>
      <c r="L457" s="4">
        <f>2*16.771</f>
        <v>33.542</v>
      </c>
      <c r="M457" s="4">
        <v>16502</v>
      </c>
      <c r="N457" s="4">
        <f>2*23780</f>
        <v>47560</v>
      </c>
      <c r="O457" s="4">
        <v>62.37</v>
      </c>
      <c r="P457" s="4">
        <v>0.48</v>
      </c>
      <c r="Q457" s="4">
        <v>18.61</v>
      </c>
      <c r="R457" s="10">
        <v>3.68</v>
      </c>
      <c r="T457" s="4">
        <v>0.24</v>
      </c>
      <c r="U457" s="4">
        <v>1.73</v>
      </c>
      <c r="V457" s="4">
        <v>5.43</v>
      </c>
      <c r="W457" s="10">
        <v>7.25</v>
      </c>
      <c r="Y457" s="4">
        <v>99.79</v>
      </c>
      <c r="Z457" s="4" t="s">
        <v>391</v>
      </c>
    </row>
    <row r="458" spans="1:26" ht="12.75">
      <c r="A458">
        <v>454</v>
      </c>
      <c r="B458" s="4" t="s">
        <v>98</v>
      </c>
      <c r="C458" s="4" t="s">
        <v>425</v>
      </c>
      <c r="D458" s="4" t="s">
        <v>130</v>
      </c>
      <c r="E458" s="4" t="s">
        <v>599</v>
      </c>
      <c r="F458" s="4">
        <v>0.5</v>
      </c>
      <c r="I458" s="10" t="s">
        <v>598</v>
      </c>
      <c r="K458" s="4">
        <v>-9.77</v>
      </c>
      <c r="L458" s="4">
        <f>2*3.22</f>
        <v>6.44</v>
      </c>
      <c r="M458" s="4">
        <v>23333</v>
      </c>
      <c r="N458" s="4">
        <f>2*4627.47</f>
        <v>9254.94</v>
      </c>
      <c r="O458" s="4">
        <v>62.37</v>
      </c>
      <c r="P458" s="4">
        <v>0.48</v>
      </c>
      <c r="Q458" s="4">
        <v>18.61</v>
      </c>
      <c r="R458" s="10">
        <v>3.68</v>
      </c>
      <c r="T458" s="4">
        <v>0.24</v>
      </c>
      <c r="U458" s="4">
        <v>1.73</v>
      </c>
      <c r="V458" s="4">
        <v>5.43</v>
      </c>
      <c r="W458" s="10">
        <v>7.25</v>
      </c>
      <c r="Y458" s="4">
        <v>99.79</v>
      </c>
      <c r="Z458" s="4" t="s">
        <v>391</v>
      </c>
    </row>
    <row r="459" spans="1:27" ht="12.75">
      <c r="A459">
        <v>455</v>
      </c>
      <c r="B459" s="4" t="s">
        <v>116</v>
      </c>
      <c r="C459" s="4" t="s">
        <v>425</v>
      </c>
      <c r="D459" s="4" t="s">
        <v>69</v>
      </c>
      <c r="E459" s="4" t="s">
        <v>310</v>
      </c>
      <c r="F459" s="4" t="s">
        <v>309</v>
      </c>
      <c r="K459" s="4">
        <v>-5.9</v>
      </c>
      <c r="L459" s="4">
        <f>2*1.0839</f>
        <v>2.1678</v>
      </c>
      <c r="M459" s="4">
        <v>33426</v>
      </c>
      <c r="N459" s="4">
        <f>2*1321</f>
        <v>2642</v>
      </c>
      <c r="O459" s="6">
        <v>71.56</v>
      </c>
      <c r="P459" s="6">
        <v>0.26</v>
      </c>
      <c r="Q459" s="6">
        <v>7.69</v>
      </c>
      <c r="R459" s="13">
        <v>8.06</v>
      </c>
      <c r="S459" s="6">
        <v>0.32</v>
      </c>
      <c r="T459" s="6">
        <v>0.01</v>
      </c>
      <c r="U459" s="6">
        <v>0.27</v>
      </c>
      <c r="V459" s="6">
        <v>7.11</v>
      </c>
      <c r="W459" s="13">
        <v>4.25</v>
      </c>
      <c r="X459" s="6">
        <v>0</v>
      </c>
      <c r="Y459" s="6">
        <f>SUM(O459:X459)</f>
        <v>99.53</v>
      </c>
      <c r="Z459" s="6" t="s">
        <v>419</v>
      </c>
      <c r="AA459" s="2"/>
    </row>
    <row r="460" spans="1:26" ht="12.75">
      <c r="A460">
        <v>456</v>
      </c>
      <c r="R460" s="10"/>
      <c r="W460" s="10"/>
      <c r="Z460" s="4"/>
    </row>
    <row r="461" spans="1:27" ht="12.75">
      <c r="A461">
        <v>457</v>
      </c>
      <c r="B461" s="4" t="s">
        <v>160</v>
      </c>
      <c r="C461" s="4" t="s">
        <v>551</v>
      </c>
      <c r="D461" s="4" t="s">
        <v>130</v>
      </c>
      <c r="E461" s="4" t="s">
        <v>603</v>
      </c>
      <c r="F461" s="4">
        <v>0.0001</v>
      </c>
      <c r="K461" s="4">
        <v>8.45</v>
      </c>
      <c r="L461" s="4">
        <f>2*6.8286</f>
        <v>13.6572</v>
      </c>
      <c r="M461" s="4">
        <v>51073</v>
      </c>
      <c r="N461" s="4">
        <f>2*10734.26</f>
        <v>21468.52</v>
      </c>
      <c r="O461" s="4">
        <v>48.8</v>
      </c>
      <c r="Q461" s="4">
        <v>15.6</v>
      </c>
      <c r="R461" s="10"/>
      <c r="T461" s="4">
        <v>10.7</v>
      </c>
      <c r="U461" s="4">
        <v>24.6</v>
      </c>
      <c r="W461" s="10"/>
      <c r="Y461" s="4">
        <v>99.8</v>
      </c>
      <c r="Z461" s="4" t="s">
        <v>593</v>
      </c>
      <c r="AA461" s="2"/>
    </row>
    <row r="462" spans="1:26" ht="12.75">
      <c r="A462">
        <v>458</v>
      </c>
      <c r="R462" s="10"/>
      <c r="W462" s="10"/>
      <c r="Z462" s="4"/>
    </row>
    <row r="463" spans="1:27" ht="12.75">
      <c r="A463">
        <v>459</v>
      </c>
      <c r="B463" s="4" t="s">
        <v>157</v>
      </c>
      <c r="C463" s="4" t="s">
        <v>423</v>
      </c>
      <c r="D463" s="4" t="s">
        <v>130</v>
      </c>
      <c r="E463" s="4" t="s">
        <v>603</v>
      </c>
      <c r="F463" s="4">
        <v>0.0001</v>
      </c>
      <c r="G463" s="4" t="s">
        <v>511</v>
      </c>
      <c r="K463" s="4">
        <v>6.88</v>
      </c>
      <c r="L463" s="4">
        <f>2*3.447</f>
        <v>6.894</v>
      </c>
      <c r="M463" s="4">
        <v>51286</v>
      </c>
      <c r="N463" s="4">
        <f>2*5419</f>
        <v>10838</v>
      </c>
      <c r="O463" s="4">
        <v>48.1</v>
      </c>
      <c r="P463" s="4">
        <v>1.1</v>
      </c>
      <c r="Q463" s="4">
        <v>15</v>
      </c>
      <c r="R463" s="10">
        <v>12.2</v>
      </c>
      <c r="S463" s="4">
        <v>0.2</v>
      </c>
      <c r="T463" s="4">
        <v>8.1</v>
      </c>
      <c r="U463" s="4">
        <v>12.2</v>
      </c>
      <c r="V463" s="4">
        <v>2.3</v>
      </c>
      <c r="W463" s="10">
        <v>0.1</v>
      </c>
      <c r="X463" s="4">
        <v>0.1</v>
      </c>
      <c r="Y463" s="4">
        <v>99.3</v>
      </c>
      <c r="Z463" s="4" t="s">
        <v>403</v>
      </c>
      <c r="AA463" s="2"/>
    </row>
    <row r="464" spans="1:26" ht="12.75">
      <c r="A464">
        <v>460</v>
      </c>
      <c r="R464" s="10"/>
      <c r="W464" s="10"/>
      <c r="Z464" s="4"/>
    </row>
    <row r="465" spans="1:26" ht="12.75">
      <c r="A465">
        <v>461</v>
      </c>
      <c r="B465" s="4" t="s">
        <v>154</v>
      </c>
      <c r="C465" s="4" t="s">
        <v>527</v>
      </c>
      <c r="D465" s="4" t="s">
        <v>66</v>
      </c>
      <c r="E465" s="4" t="s">
        <v>250</v>
      </c>
      <c r="F465" s="4">
        <v>0.0001</v>
      </c>
      <c r="G465" s="4" t="s">
        <v>698</v>
      </c>
      <c r="K465" s="4">
        <v>-9.3</v>
      </c>
      <c r="L465" s="4">
        <f>2*1.1874</f>
        <v>2.3748</v>
      </c>
      <c r="M465" s="4">
        <v>26554</v>
      </c>
      <c r="N465" s="4">
        <f>2*(2018.6)</f>
        <v>4037.2</v>
      </c>
      <c r="O465" s="4">
        <v>47.6</v>
      </c>
      <c r="Q465" s="4">
        <v>16.4</v>
      </c>
      <c r="R465" s="10"/>
      <c r="T465" s="4">
        <v>16.9</v>
      </c>
      <c r="U465" s="4">
        <v>19.4</v>
      </c>
      <c r="W465" s="10"/>
      <c r="Y465" s="4">
        <v>100.3</v>
      </c>
      <c r="Z465" s="4" t="s">
        <v>307</v>
      </c>
    </row>
    <row r="466" spans="1:27" ht="12.75">
      <c r="A466">
        <v>462</v>
      </c>
      <c r="B466" s="4" t="s">
        <v>128</v>
      </c>
      <c r="C466" s="4" t="s">
        <v>527</v>
      </c>
      <c r="D466" s="4" t="s">
        <v>130</v>
      </c>
      <c r="E466" s="4" t="s">
        <v>693</v>
      </c>
      <c r="F466" s="4">
        <v>0.0001</v>
      </c>
      <c r="I466" s="10">
        <v>0.02</v>
      </c>
      <c r="K466" s="4">
        <v>-7.05</v>
      </c>
      <c r="L466" s="4">
        <f>2*1.6147</f>
        <v>3.2294</v>
      </c>
      <c r="M466" s="4">
        <v>44331</v>
      </c>
      <c r="N466" s="4">
        <f>2*2741</f>
        <v>5482</v>
      </c>
      <c r="O466" s="4">
        <v>79.1</v>
      </c>
      <c r="Q466" s="4">
        <v>12.07</v>
      </c>
      <c r="R466" s="10"/>
      <c r="V466" s="4">
        <v>4.6</v>
      </c>
      <c r="W466" s="10">
        <v>4.23</v>
      </c>
      <c r="Y466" s="4">
        <v>100</v>
      </c>
      <c r="Z466" s="4" t="s">
        <v>577</v>
      </c>
      <c r="AA466" s="2"/>
    </row>
    <row r="467" spans="1:26" ht="12.75">
      <c r="A467">
        <v>463</v>
      </c>
      <c r="B467" s="4" t="s">
        <v>666</v>
      </c>
      <c r="C467" s="4" t="s">
        <v>527</v>
      </c>
      <c r="D467" s="4" t="s">
        <v>130</v>
      </c>
      <c r="E467" s="4" t="s">
        <v>506</v>
      </c>
      <c r="F467" s="4" t="s">
        <v>667</v>
      </c>
      <c r="I467" s="10" t="s">
        <v>668</v>
      </c>
      <c r="K467" s="8" t="s">
        <v>215</v>
      </c>
      <c r="Z467" s="6" t="s">
        <v>151</v>
      </c>
    </row>
    <row r="468" ht="12.75">
      <c r="A468">
        <v>464</v>
      </c>
    </row>
    <row r="469" spans="1:26" ht="12.75">
      <c r="A469">
        <v>465</v>
      </c>
      <c r="B469" s="4" t="s">
        <v>154</v>
      </c>
      <c r="C469" s="4" t="s">
        <v>528</v>
      </c>
      <c r="D469" s="4" t="s">
        <v>66</v>
      </c>
      <c r="E469" s="4" t="s">
        <v>250</v>
      </c>
      <c r="F469" s="4">
        <v>0.0001</v>
      </c>
      <c r="G469" s="4" t="s">
        <v>511</v>
      </c>
      <c r="K469" s="4">
        <v>-4.81</v>
      </c>
      <c r="L469" s="4">
        <f>2*2.377</f>
        <v>4.754</v>
      </c>
      <c r="M469" s="4">
        <v>34268</v>
      </c>
      <c r="N469" s="4">
        <f>2*4007</f>
        <v>8014</v>
      </c>
      <c r="O469" s="4">
        <v>47.6</v>
      </c>
      <c r="Q469" s="4">
        <v>16.4</v>
      </c>
      <c r="R469" s="10"/>
      <c r="T469" s="4">
        <v>16.9</v>
      </c>
      <c r="U469" s="4">
        <v>19.4</v>
      </c>
      <c r="W469" s="10"/>
      <c r="Y469" s="4">
        <v>100.3</v>
      </c>
      <c r="Z469" s="4" t="s">
        <v>307</v>
      </c>
    </row>
    <row r="470" spans="1:26" ht="12.75">
      <c r="A470">
        <v>466</v>
      </c>
      <c r="B470" s="4" t="s">
        <v>154</v>
      </c>
      <c r="C470" s="4" t="s">
        <v>528</v>
      </c>
      <c r="D470" s="4" t="s">
        <v>66</v>
      </c>
      <c r="E470" s="4" t="s">
        <v>697</v>
      </c>
      <c r="F470" s="4">
        <v>0.0001</v>
      </c>
      <c r="G470" s="4" t="s">
        <v>696</v>
      </c>
      <c r="K470" s="4">
        <v>-7.32</v>
      </c>
      <c r="L470" s="4">
        <f>2*0.5689</f>
        <v>1.1378</v>
      </c>
      <c r="M470" s="4">
        <v>29659</v>
      </c>
      <c r="N470" s="4">
        <f>2*969.66</f>
        <v>1939.32</v>
      </c>
      <c r="O470" s="4">
        <v>47.6</v>
      </c>
      <c r="Q470" s="4">
        <v>16.4</v>
      </c>
      <c r="R470" s="10"/>
      <c r="T470" s="4">
        <v>16.9</v>
      </c>
      <c r="U470" s="4">
        <v>19.4</v>
      </c>
      <c r="W470" s="10"/>
      <c r="Y470" s="4">
        <v>100.3</v>
      </c>
      <c r="Z470" s="4" t="s">
        <v>307</v>
      </c>
    </row>
    <row r="471" spans="1:27" ht="12.75">
      <c r="A471">
        <v>467</v>
      </c>
      <c r="B471" s="4" t="s">
        <v>128</v>
      </c>
      <c r="C471" s="4" t="s">
        <v>528</v>
      </c>
      <c r="D471" s="4" t="s">
        <v>130</v>
      </c>
      <c r="E471" s="4" t="s">
        <v>693</v>
      </c>
      <c r="F471" s="4">
        <v>0.0001</v>
      </c>
      <c r="I471" s="10">
        <v>0.02</v>
      </c>
      <c r="K471" s="4">
        <v>-6.7</v>
      </c>
      <c r="L471" s="4">
        <f>2*0.849</f>
        <v>1.698</v>
      </c>
      <c r="M471" s="4">
        <v>43763</v>
      </c>
      <c r="N471" s="4">
        <f>2*1441.4</f>
        <v>2882.8</v>
      </c>
      <c r="O471" s="4">
        <v>79.1</v>
      </c>
      <c r="Q471" s="4">
        <v>12.07</v>
      </c>
      <c r="R471" s="10"/>
      <c r="V471" s="4">
        <v>4.6</v>
      </c>
      <c r="W471" s="10">
        <v>4.23</v>
      </c>
      <c r="Y471" s="4">
        <v>100</v>
      </c>
      <c r="Z471" s="4" t="s">
        <v>577</v>
      </c>
      <c r="AA471" s="2"/>
    </row>
    <row r="472" spans="1:26" ht="12.75">
      <c r="A472">
        <v>468</v>
      </c>
      <c r="B472" s="4" t="s">
        <v>666</v>
      </c>
      <c r="C472" s="4" t="s">
        <v>528</v>
      </c>
      <c r="D472" s="4" t="s">
        <v>130</v>
      </c>
      <c r="E472" s="4" t="s">
        <v>506</v>
      </c>
      <c r="F472" s="4" t="s">
        <v>667</v>
      </c>
      <c r="I472" s="10" t="s">
        <v>668</v>
      </c>
      <c r="K472" s="8" t="s">
        <v>214</v>
      </c>
      <c r="Z472" s="6" t="s">
        <v>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Geological Sciences,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Youxue Zhang</dc:creator>
  <cp:keywords/>
  <dc:description/>
  <cp:lastModifiedBy>LSA User</cp:lastModifiedBy>
  <cp:lastPrinted>2007-04-06T21:24:24Z</cp:lastPrinted>
  <dcterms:created xsi:type="dcterms:W3CDTF">2005-02-14T06:40:47Z</dcterms:created>
  <dcterms:modified xsi:type="dcterms:W3CDTF">2010-06-08T19:31:25Z</dcterms:modified>
  <cp:category/>
  <cp:version/>
  <cp:contentType/>
  <cp:contentStatus/>
</cp:coreProperties>
</file>