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00" yWindow="80" windowWidth="21060" windowHeight="9260"/>
  </bookViews>
  <sheets>
    <sheet name="Sheet1" sheetId="1" r:id="rId1"/>
    <sheet name="Li Sheet" sheetId="2" r:id="rId2"/>
    <sheet name="Li-Free" sheetId="3" r:id="rId3"/>
  </sheets>
  <externalReferences>
    <externalReference r:id="rId4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3" l="1"/>
  <c r="B21" i="3"/>
  <c r="D21" i="3"/>
  <c r="E21" i="3"/>
  <c r="B20" i="3"/>
  <c r="B19" i="3"/>
  <c r="D19" i="3"/>
  <c r="E19" i="3"/>
  <c r="B18" i="3"/>
  <c r="D18" i="3"/>
  <c r="E18" i="3"/>
  <c r="B17" i="3"/>
  <c r="D17" i="3"/>
  <c r="E17" i="3"/>
  <c r="B16" i="3"/>
  <c r="D16" i="3"/>
  <c r="E16" i="3"/>
  <c r="B15" i="3"/>
  <c r="D15" i="3"/>
  <c r="E15" i="3"/>
  <c r="B14" i="3"/>
  <c r="D14" i="3"/>
  <c r="E14" i="3"/>
  <c r="B12" i="3"/>
  <c r="D12" i="3"/>
  <c r="E12" i="3"/>
  <c r="B11" i="3"/>
  <c r="D11" i="3"/>
  <c r="E11" i="3"/>
  <c r="B9" i="3"/>
  <c r="D9" i="3"/>
  <c r="E9" i="3"/>
  <c r="B6" i="3"/>
  <c r="C5" i="2"/>
  <c r="B6" i="2"/>
  <c r="B22" i="3"/>
  <c r="D22" i="3"/>
  <c r="E22" i="3"/>
  <c r="D20" i="3"/>
  <c r="E20" i="3"/>
  <c r="B13" i="3"/>
  <c r="D13" i="3"/>
  <c r="E13" i="3"/>
  <c r="B10" i="3"/>
  <c r="D10" i="3"/>
  <c r="E10" i="3"/>
  <c r="G29" i="3"/>
  <c r="F44" i="2"/>
  <c r="G44" i="2"/>
  <c r="H44" i="2"/>
  <c r="B22" i="2"/>
  <c r="D22" i="2"/>
  <c r="B21" i="2"/>
  <c r="B25" i="2"/>
  <c r="B20" i="2"/>
  <c r="D20" i="2"/>
  <c r="E20" i="2"/>
  <c r="B19" i="2"/>
  <c r="D19" i="2"/>
  <c r="E19" i="2"/>
  <c r="B18" i="2"/>
  <c r="D18" i="2"/>
  <c r="E18" i="2"/>
  <c r="B17" i="2"/>
  <c r="D17" i="2"/>
  <c r="E17" i="2"/>
  <c r="B16" i="2"/>
  <c r="D16" i="2"/>
  <c r="E16" i="2"/>
  <c r="B15" i="2"/>
  <c r="D15" i="2"/>
  <c r="E15" i="2"/>
  <c r="B14" i="2"/>
  <c r="D14" i="2"/>
  <c r="E14" i="2"/>
  <c r="B13" i="2"/>
  <c r="D13" i="2"/>
  <c r="E13" i="2"/>
  <c r="B12" i="2"/>
  <c r="D12" i="2"/>
  <c r="E12" i="2"/>
  <c r="B11" i="2"/>
  <c r="D11" i="2"/>
  <c r="E11" i="2"/>
  <c r="B10" i="2"/>
  <c r="D10" i="2"/>
  <c r="E10" i="2"/>
  <c r="B9" i="2"/>
  <c r="D9" i="2"/>
  <c r="E9" i="2"/>
  <c r="B26" i="3"/>
  <c r="B25" i="3"/>
  <c r="D6" i="3"/>
  <c r="C51" i="2"/>
  <c r="J33" i="1"/>
  <c r="J32" i="1"/>
  <c r="J31" i="1"/>
  <c r="J30" i="1"/>
  <c r="B26" i="1"/>
  <c r="B25" i="1"/>
  <c r="D22" i="1"/>
  <c r="J22" i="1"/>
  <c r="D21" i="1"/>
  <c r="D20" i="1"/>
  <c r="E20" i="1"/>
  <c r="D19" i="1"/>
  <c r="E19" i="1"/>
  <c r="J18" i="1"/>
  <c r="D18" i="1"/>
  <c r="E18" i="1"/>
  <c r="J17" i="1"/>
  <c r="D17" i="1"/>
  <c r="E17" i="1"/>
  <c r="D16" i="1"/>
  <c r="E16" i="1"/>
  <c r="D15" i="1"/>
  <c r="E15" i="1"/>
  <c r="D14" i="1"/>
  <c r="E14" i="1"/>
  <c r="D13" i="1"/>
  <c r="E13" i="1"/>
  <c r="D12" i="1"/>
  <c r="E12" i="1"/>
  <c r="D11" i="1"/>
  <c r="E11" i="1"/>
  <c r="D10" i="1"/>
  <c r="E10" i="1"/>
  <c r="D9" i="1"/>
  <c r="E9" i="1"/>
  <c r="D6" i="1"/>
  <c r="B27" i="1"/>
  <c r="D21" i="2"/>
  <c r="E21" i="1"/>
  <c r="E25" i="1"/>
  <c r="E22" i="1"/>
  <c r="B27" i="3"/>
  <c r="E25" i="3"/>
  <c r="E22" i="2"/>
  <c r="E26" i="2"/>
  <c r="B26" i="2"/>
  <c r="B27" i="2"/>
  <c r="D6" i="2"/>
  <c r="E21" i="2"/>
  <c r="E25" i="2"/>
  <c r="E24" i="1"/>
  <c r="E26" i="1"/>
  <c r="E24" i="2"/>
  <c r="E27" i="2"/>
  <c r="E29" i="2"/>
  <c r="F10" i="2"/>
  <c r="G10" i="2"/>
  <c r="E26" i="3"/>
  <c r="E27" i="1"/>
  <c r="E29" i="1"/>
  <c r="F15" i="2"/>
  <c r="G15" i="2"/>
  <c r="C44" i="2"/>
  <c r="F21" i="2"/>
  <c r="G21" i="2"/>
  <c r="F12" i="2"/>
  <c r="G12" i="2"/>
  <c r="C46" i="2"/>
  <c r="F18" i="2"/>
  <c r="G18" i="2"/>
  <c r="F14" i="2"/>
  <c r="G14" i="2"/>
  <c r="C45" i="2"/>
  <c r="F17" i="2"/>
  <c r="G17" i="2"/>
  <c r="C48" i="2"/>
  <c r="D48" i="2"/>
  <c r="E48" i="2"/>
  <c r="F48" i="2"/>
  <c r="F16" i="2"/>
  <c r="G16" i="2"/>
  <c r="F22" i="2"/>
  <c r="G22" i="2"/>
  <c r="F19" i="2"/>
  <c r="G19" i="2"/>
  <c r="F11" i="2"/>
  <c r="G11" i="2"/>
  <c r="F9" i="2"/>
  <c r="G9" i="2"/>
  <c r="F20" i="2"/>
  <c r="G20" i="2"/>
  <c r="F13" i="2"/>
  <c r="G13" i="2"/>
  <c r="C47" i="2"/>
  <c r="D47" i="2"/>
  <c r="E47" i="2"/>
  <c r="F47" i="2"/>
  <c r="E24" i="3"/>
  <c r="E27" i="3"/>
  <c r="E29" i="3"/>
  <c r="G42" i="2"/>
  <c r="G27" i="2"/>
  <c r="F10" i="1"/>
  <c r="G10" i="1"/>
  <c r="F11" i="1"/>
  <c r="G11" i="1"/>
  <c r="F18" i="1"/>
  <c r="G18" i="1"/>
  <c r="F12" i="1"/>
  <c r="G12" i="1"/>
  <c r="F14" i="1"/>
  <c r="G14" i="1"/>
  <c r="F13" i="1"/>
  <c r="G13" i="1"/>
  <c r="F20" i="1"/>
  <c r="G20" i="1"/>
  <c r="F22" i="1"/>
  <c r="G22" i="1"/>
  <c r="K37" i="1"/>
  <c r="F17" i="1"/>
  <c r="G17" i="1"/>
  <c r="F15" i="1"/>
  <c r="G15" i="1"/>
  <c r="F21" i="1"/>
  <c r="G21" i="1"/>
  <c r="K36" i="1"/>
  <c r="F9" i="1"/>
  <c r="G9" i="1"/>
  <c r="F19" i="1"/>
  <c r="G19" i="1"/>
  <c r="F16" i="1"/>
  <c r="G16" i="1"/>
  <c r="F9" i="3"/>
  <c r="G9" i="3"/>
  <c r="F13" i="3"/>
  <c r="G13" i="3"/>
  <c r="B47" i="3"/>
  <c r="D47" i="3"/>
  <c r="E47" i="3"/>
  <c r="G47" i="3"/>
  <c r="H47" i="3"/>
  <c r="F17" i="3"/>
  <c r="G17" i="3"/>
  <c r="F21" i="3"/>
  <c r="G21" i="3"/>
  <c r="F11" i="3"/>
  <c r="G11" i="3"/>
  <c r="F15" i="3"/>
  <c r="G15" i="3"/>
  <c r="F19" i="3"/>
  <c r="G19" i="3"/>
  <c r="F12" i="3"/>
  <c r="G12" i="3"/>
  <c r="F16" i="3"/>
  <c r="G16" i="3"/>
  <c r="F20" i="3"/>
  <c r="G20" i="3"/>
  <c r="F10" i="3"/>
  <c r="G10" i="3"/>
  <c r="F14" i="3"/>
  <c r="G14" i="3"/>
  <c r="F18" i="3"/>
  <c r="G18" i="3"/>
  <c r="F22" i="3"/>
  <c r="G22" i="3"/>
  <c r="G33" i="2"/>
  <c r="G34" i="2"/>
  <c r="C52" i="2"/>
  <c r="D45" i="2"/>
  <c r="E45" i="2"/>
  <c r="D42" i="2"/>
  <c r="D51" i="2"/>
  <c r="G36" i="2"/>
  <c r="C49" i="2"/>
  <c r="D49" i="2"/>
  <c r="I23" i="2"/>
  <c r="J42" i="3"/>
  <c r="B46" i="3"/>
  <c r="G47" i="2"/>
  <c r="H47" i="2"/>
  <c r="I47" i="2"/>
  <c r="J47" i="2"/>
  <c r="K47" i="2"/>
  <c r="L47" i="2"/>
  <c r="M47" i="2"/>
  <c r="G48" i="2"/>
  <c r="G37" i="3"/>
  <c r="G36" i="1"/>
  <c r="G27" i="3"/>
  <c r="G27" i="1"/>
  <c r="G33" i="1"/>
  <c r="G34" i="1"/>
  <c r="G35" i="1"/>
  <c r="H20" i="1"/>
  <c r="G35" i="2"/>
  <c r="C50" i="2"/>
  <c r="D52" i="2"/>
  <c r="D44" i="2"/>
  <c r="E44" i="2"/>
  <c r="E51" i="2"/>
  <c r="F51" i="2"/>
  <c r="C55" i="2"/>
  <c r="D55" i="2"/>
  <c r="D46" i="2"/>
  <c r="E42" i="2"/>
  <c r="B48" i="3"/>
  <c r="B44" i="3"/>
  <c r="D44" i="3"/>
  <c r="G33" i="3"/>
  <c r="G34" i="3"/>
  <c r="B51" i="3"/>
  <c r="I20" i="3"/>
  <c r="J47" i="3"/>
  <c r="K47" i="3"/>
  <c r="L47" i="3"/>
  <c r="M47" i="3"/>
  <c r="O47" i="3"/>
  <c r="D50" i="2"/>
  <c r="E50" i="2"/>
  <c r="C53" i="2"/>
  <c r="G51" i="2"/>
  <c r="H51" i="2"/>
  <c r="I51" i="2"/>
  <c r="C54" i="2"/>
  <c r="D54" i="2"/>
  <c r="E54" i="2"/>
  <c r="E52" i="2"/>
  <c r="D48" i="3"/>
  <c r="E48" i="3"/>
  <c r="G48" i="3"/>
  <c r="H48" i="3"/>
  <c r="J48" i="3"/>
  <c r="D46" i="3"/>
  <c r="E44" i="3"/>
  <c r="E49" i="2"/>
  <c r="F42" i="2"/>
  <c r="E46" i="2"/>
  <c r="F46" i="2"/>
  <c r="E55" i="2"/>
  <c r="B49" i="3"/>
  <c r="K33" i="3"/>
  <c r="G35" i="3"/>
  <c r="B50" i="3"/>
  <c r="G36" i="3"/>
  <c r="G46" i="2"/>
  <c r="K35" i="3"/>
  <c r="K34" i="3"/>
  <c r="D53" i="2"/>
  <c r="E53" i="2"/>
  <c r="F53" i="2"/>
  <c r="G53" i="2"/>
  <c r="F45" i="2"/>
  <c r="F50" i="2"/>
  <c r="G50" i="2"/>
  <c r="H50" i="2"/>
  <c r="F55" i="2"/>
  <c r="G55" i="2"/>
  <c r="F49" i="2"/>
  <c r="F54" i="2"/>
  <c r="G54" i="2"/>
  <c r="F52" i="2"/>
  <c r="G52" i="2"/>
  <c r="B54" i="3"/>
  <c r="G38" i="3"/>
  <c r="I18" i="3"/>
  <c r="K18" i="1"/>
  <c r="B53" i="3"/>
  <c r="B45" i="3"/>
  <c r="B52" i="3"/>
  <c r="D42" i="3"/>
  <c r="H42" i="2"/>
  <c r="H55" i="2"/>
  <c r="G45" i="2"/>
  <c r="H45" i="2"/>
  <c r="I42" i="2"/>
  <c r="G49" i="2"/>
  <c r="H49" i="2"/>
  <c r="I49" i="2"/>
  <c r="J42" i="2"/>
  <c r="E42" i="3"/>
  <c r="K36" i="3"/>
  <c r="I50" i="2"/>
  <c r="H53" i="2"/>
  <c r="H48" i="2"/>
  <c r="H52" i="2"/>
  <c r="I52" i="2"/>
  <c r="J52" i="2"/>
  <c r="H54" i="2"/>
  <c r="I54" i="2"/>
  <c r="J54" i="2"/>
  <c r="H46" i="2"/>
  <c r="J49" i="2"/>
  <c r="K49" i="2"/>
  <c r="L49" i="2"/>
  <c r="M49" i="2"/>
  <c r="J50" i="2"/>
  <c r="J51" i="2"/>
  <c r="K42" i="2"/>
  <c r="D54" i="3"/>
  <c r="D50" i="3"/>
  <c r="D51" i="3"/>
  <c r="D49" i="3"/>
  <c r="D52" i="3"/>
  <c r="D53" i="3"/>
  <c r="D45" i="3"/>
  <c r="E45" i="3"/>
  <c r="I53" i="2"/>
  <c r="J53" i="2"/>
  <c r="I55" i="2"/>
  <c r="J55" i="2"/>
  <c r="I48" i="2"/>
  <c r="J48" i="2"/>
  <c r="I45" i="2"/>
  <c r="J45" i="2"/>
  <c r="K45" i="2"/>
  <c r="L45" i="2"/>
  <c r="M45" i="2"/>
  <c r="K53" i="2"/>
  <c r="K54" i="2"/>
  <c r="J46" i="2"/>
  <c r="K46" i="2"/>
  <c r="L46" i="2"/>
  <c r="M46" i="2"/>
  <c r="I46" i="2"/>
  <c r="K55" i="2"/>
  <c r="E52" i="3"/>
  <c r="K51" i="2"/>
  <c r="L51" i="2"/>
  <c r="M51" i="2"/>
  <c r="K52" i="2"/>
  <c r="K50" i="2"/>
  <c r="K48" i="2"/>
  <c r="L42" i="2"/>
  <c r="I12" i="2"/>
  <c r="K25" i="1"/>
  <c r="L54" i="2"/>
  <c r="E53" i="3"/>
  <c r="E46" i="3"/>
  <c r="E54" i="3"/>
  <c r="E51" i="3"/>
  <c r="E50" i="3"/>
  <c r="G50" i="3"/>
  <c r="H50" i="3"/>
  <c r="J50" i="3"/>
  <c r="K50" i="3"/>
  <c r="E49" i="3"/>
  <c r="G49" i="3"/>
  <c r="L53" i="2"/>
  <c r="M53" i="2"/>
  <c r="L55" i="2"/>
  <c r="M55" i="2"/>
  <c r="L48" i="2"/>
  <c r="M48" i="2"/>
  <c r="L50" i="2"/>
  <c r="M50" i="2"/>
  <c r="L52" i="2"/>
  <c r="M52" i="2"/>
  <c r="G46" i="3"/>
  <c r="H42" i="3"/>
  <c r="G42" i="3"/>
  <c r="I9" i="2"/>
  <c r="K22" i="1"/>
  <c r="L24" i="1"/>
  <c r="M54" i="2"/>
  <c r="J58" i="3"/>
  <c r="I15" i="2"/>
  <c r="K28" i="1"/>
  <c r="I11" i="2"/>
  <c r="K24" i="1"/>
  <c r="I14" i="2"/>
  <c r="K27" i="1"/>
  <c r="I13" i="2"/>
  <c r="K26" i="1"/>
  <c r="I10" i="2"/>
  <c r="K23" i="1"/>
  <c r="I16" i="2"/>
  <c r="K29" i="1"/>
  <c r="I17" i="2"/>
  <c r="K30" i="1"/>
  <c r="H46" i="3"/>
  <c r="J46" i="3"/>
  <c r="K46" i="3"/>
  <c r="L22" i="1"/>
  <c r="L23" i="1"/>
  <c r="L50" i="3"/>
  <c r="K31" i="1"/>
  <c r="G37" i="2"/>
  <c r="I20" i="2"/>
  <c r="K33" i="1"/>
  <c r="K32" i="1"/>
  <c r="I19" i="2"/>
  <c r="I18" i="2"/>
  <c r="H49" i="3"/>
  <c r="J49" i="3"/>
  <c r="K49" i="3"/>
  <c r="L49" i="3"/>
  <c r="M49" i="3"/>
  <c r="O49" i="3"/>
  <c r="I44" i="2"/>
  <c r="J44" i="2"/>
  <c r="K44" i="2"/>
  <c r="L44" i="2"/>
  <c r="M44" i="2"/>
  <c r="G44" i="3"/>
  <c r="H44" i="3"/>
  <c r="J44" i="3"/>
  <c r="K44" i="3"/>
  <c r="G45" i="3"/>
  <c r="H45" i="3"/>
  <c r="J45" i="3"/>
  <c r="G51" i="3"/>
  <c r="H51" i="3"/>
  <c r="J51" i="3"/>
  <c r="G52" i="3"/>
  <c r="H52" i="3"/>
  <c r="J52" i="3"/>
  <c r="G53" i="3"/>
  <c r="H53" i="3"/>
  <c r="J53" i="3"/>
  <c r="G54" i="3"/>
  <c r="H54" i="3"/>
  <c r="J54" i="3"/>
  <c r="K42" i="3"/>
  <c r="K48" i="3"/>
  <c r="L44" i="3"/>
  <c r="M44" i="3"/>
  <c r="O44" i="3"/>
  <c r="K51" i="3"/>
  <c r="K52" i="3"/>
  <c r="K53" i="3"/>
  <c r="K54" i="3"/>
  <c r="K45" i="3"/>
  <c r="L45" i="3"/>
  <c r="M45" i="3"/>
  <c r="O45" i="3"/>
  <c r="L42" i="3"/>
  <c r="L46" i="3"/>
  <c r="M46" i="3"/>
  <c r="O46" i="3"/>
  <c r="L52" i="3"/>
  <c r="L51" i="3"/>
  <c r="L53" i="3"/>
  <c r="L54" i="3"/>
  <c r="L48" i="3"/>
  <c r="M42" i="3"/>
  <c r="M48" i="3"/>
  <c r="O48" i="3"/>
  <c r="I11" i="3"/>
  <c r="K11" i="1"/>
  <c r="M53" i="3"/>
  <c r="O53" i="3"/>
  <c r="M52" i="3"/>
  <c r="O52" i="3"/>
  <c r="M51" i="3"/>
  <c r="O51" i="3"/>
  <c r="I16" i="3"/>
  <c r="K16" i="1"/>
  <c r="I13" i="3"/>
  <c r="I10" i="3"/>
  <c r="I14" i="3"/>
  <c r="I12" i="3"/>
  <c r="I9" i="3"/>
  <c r="I15" i="3"/>
  <c r="M50" i="3"/>
  <c r="O50" i="3"/>
  <c r="M54" i="3"/>
  <c r="O54" i="3"/>
  <c r="K14" i="1"/>
  <c r="K12" i="1"/>
  <c r="K13" i="1"/>
  <c r="K10" i="1"/>
  <c r="K15" i="1"/>
  <c r="L10" i="1"/>
  <c r="K9" i="1"/>
  <c r="L9" i="1"/>
  <c r="I17" i="3"/>
  <c r="L11" i="1"/>
  <c r="K17" i="1"/>
</calcChain>
</file>

<file path=xl/sharedStrings.xml><?xml version="1.0" encoding="utf-8"?>
<sst xmlns="http://schemas.openxmlformats.org/spreadsheetml/2006/main" count="253" uniqueCount="133">
  <si>
    <t xml:space="preserve">         Sample:</t>
  </si>
  <si>
    <t># Oxygen:</t>
  </si>
  <si>
    <t>=</t>
  </si>
  <si>
    <t>negative charge</t>
  </si>
  <si>
    <t>Wt.% Ox</t>
  </si>
  <si>
    <t>gpfu</t>
  </si>
  <si>
    <t>mol prp</t>
  </si>
  <si>
    <t>Ox prp</t>
  </si>
  <si>
    <t>#anions</t>
  </si>
  <si>
    <t>IPFU</t>
  </si>
  <si>
    <t xml:space="preserve">    Li-Free Mole Fractions</t>
  </si>
  <si>
    <t>SiO2</t>
  </si>
  <si>
    <t>TiO2</t>
  </si>
  <si>
    <t>Al2O3</t>
  </si>
  <si>
    <t>FeO</t>
  </si>
  <si>
    <t>MnO</t>
  </si>
  <si>
    <t>MgO</t>
  </si>
  <si>
    <t>Mg-Foitite</t>
  </si>
  <si>
    <t>CaO</t>
  </si>
  <si>
    <t>Li2O</t>
  </si>
  <si>
    <t>Na2O</t>
  </si>
  <si>
    <t>K2O</t>
  </si>
  <si>
    <t>B2O3</t>
  </si>
  <si>
    <t>OH Sum</t>
  </si>
  <si>
    <t>H2O</t>
  </si>
  <si>
    <t>F</t>
  </si>
  <si>
    <t>Cl</t>
  </si>
  <si>
    <t>----</t>
  </si>
  <si>
    <t>sub</t>
  </si>
  <si>
    <t>O=F</t>
  </si>
  <si>
    <t>O=Cl</t>
  </si>
  <si>
    <t>Total</t>
  </si>
  <si>
    <t>norm=</t>
  </si>
  <si>
    <t>user inputs sample name, desired #oxygen atoms, &amp; Wt% values in blue cells</t>
  </si>
  <si>
    <t xml:space="preserve">        Sample:</t>
  </si>
  <si>
    <t xml:space="preserve">Mole Fractions      </t>
  </si>
  <si>
    <t>Olenite:</t>
  </si>
  <si>
    <t xml:space="preserve"> Sum:</t>
  </si>
  <si>
    <t xml:space="preserve"> Li apfu</t>
  </si>
  <si>
    <t>Y Sum</t>
  </si>
  <si>
    <t>OH Sum:</t>
  </si>
  <si>
    <t>SITE Calculations</t>
  </si>
  <si>
    <t>B(T)</t>
  </si>
  <si>
    <t>Al(T)</t>
  </si>
  <si>
    <t xml:space="preserve">assumes Ti is VI: </t>
  </si>
  <si>
    <t>Al(Y)</t>
  </si>
  <si>
    <t>[  ]X</t>
  </si>
  <si>
    <t>Molar Components</t>
  </si>
  <si>
    <t>Ross</t>
  </si>
  <si>
    <t>Elb</t>
  </si>
  <si>
    <t>Olenite</t>
  </si>
  <si>
    <t>Residuals</t>
  </si>
  <si>
    <t>start</t>
  </si>
  <si>
    <t>-LDD</t>
  </si>
  <si>
    <t>-FTT</t>
  </si>
  <si>
    <t>-Ross</t>
  </si>
  <si>
    <t>-Elb</t>
  </si>
  <si>
    <t>-Olen</t>
  </si>
  <si>
    <t>Ca</t>
  </si>
  <si>
    <t>Na</t>
  </si>
  <si>
    <t>[  ]x</t>
  </si>
  <si>
    <t>Li (Y)</t>
  </si>
  <si>
    <t>T</t>
  </si>
  <si>
    <t>Y sum</t>
  </si>
  <si>
    <t>Schorl</t>
  </si>
  <si>
    <t>Dravite</t>
  </si>
  <si>
    <t>Uvite</t>
  </si>
  <si>
    <t>Fe-Uvite</t>
  </si>
  <si>
    <t>Foitite</t>
  </si>
  <si>
    <t xml:space="preserve"> Sum</t>
  </si>
  <si>
    <t>Schorl:</t>
  </si>
  <si>
    <t>Dravite:</t>
  </si>
  <si>
    <t>Feruvite</t>
  </si>
  <si>
    <t>Foitite:</t>
  </si>
  <si>
    <t>Elbaite:</t>
  </si>
  <si>
    <t>Rossmanite:</t>
  </si>
  <si>
    <t>Mg-Foitite:</t>
  </si>
  <si>
    <t xml:space="preserve"> Liddicoatite</t>
  </si>
  <si>
    <t>Elbaite</t>
  </si>
  <si>
    <t>Rossmanite</t>
  </si>
  <si>
    <t>Mg(Y)</t>
  </si>
  <si>
    <t>Mg(Z)</t>
  </si>
  <si>
    <t>Z Sum</t>
  </si>
  <si>
    <t>MgFTT</t>
  </si>
  <si>
    <t>FeUv</t>
  </si>
  <si>
    <t>FTT</t>
  </si>
  <si>
    <t>Uv</t>
  </si>
  <si>
    <t>Drv</t>
  </si>
  <si>
    <t>Shl</t>
  </si>
  <si>
    <t>-MgFTT</t>
  </si>
  <si>
    <t>-Uv</t>
  </si>
  <si>
    <t>-FeUv</t>
  </si>
  <si>
    <t>Resid</t>
  </si>
  <si>
    <t>-Drv</t>
  </si>
  <si>
    <t>-Shl</t>
  </si>
  <si>
    <t>T sum</t>
  </si>
  <si>
    <t>Ftt</t>
  </si>
  <si>
    <t>MgFtt</t>
  </si>
  <si>
    <t>X Sum</t>
  </si>
  <si>
    <t>Mg</t>
  </si>
  <si>
    <t>-MgFtt</t>
  </si>
  <si>
    <t>Ldd</t>
  </si>
  <si>
    <t>Y Sum+Li</t>
  </si>
  <si>
    <t>-Fett</t>
  </si>
  <si>
    <t>Series Norms</t>
  </si>
  <si>
    <t>Vacancy</t>
  </si>
  <si>
    <t>sum</t>
  </si>
  <si>
    <t>Calcium</t>
  </si>
  <si>
    <t>Sodium</t>
  </si>
  <si>
    <r>
      <rPr>
        <b/>
        <sz val="12"/>
        <color theme="1"/>
        <rFont val="Symbol"/>
        <family val="1"/>
        <charset val="2"/>
      </rPr>
      <t xml:space="preserve">S </t>
    </r>
    <r>
      <rPr>
        <b/>
        <sz val="12"/>
        <color theme="1"/>
        <rFont val="Arial"/>
        <family val="2"/>
      </rPr>
      <t>Sodium Species</t>
    </r>
  </si>
  <si>
    <r>
      <rPr>
        <b/>
        <sz val="12"/>
        <color theme="1"/>
        <rFont val="Symbol"/>
        <family val="1"/>
        <charset val="2"/>
      </rPr>
      <t xml:space="preserve">S </t>
    </r>
    <r>
      <rPr>
        <b/>
        <sz val="12"/>
        <color theme="1"/>
        <rFont val="Arial"/>
        <family val="2"/>
      </rPr>
      <t>Vacancy Species</t>
    </r>
  </si>
  <si>
    <r>
      <rPr>
        <b/>
        <sz val="12"/>
        <color theme="1"/>
        <rFont val="Symbol"/>
        <family val="1"/>
        <charset val="2"/>
      </rPr>
      <t xml:space="preserve">S </t>
    </r>
    <r>
      <rPr>
        <b/>
        <sz val="12"/>
        <color theme="1"/>
        <rFont val="Arial"/>
        <family val="2"/>
      </rPr>
      <t>Calcium Species</t>
    </r>
  </si>
  <si>
    <r>
      <rPr>
        <b/>
        <sz val="12"/>
        <rFont val="Symbol"/>
        <family val="1"/>
        <charset val="2"/>
      </rPr>
      <t>S</t>
    </r>
    <r>
      <rPr>
        <b/>
        <sz val="12"/>
        <rFont val="Arial"/>
        <family val="2"/>
      </rPr>
      <t>YZBT</t>
    </r>
  </si>
  <si>
    <t>Tourmaline Normative Calculation Sheet</t>
  </si>
  <si>
    <t>Lithium-Free Recalculation Sheet</t>
  </si>
  <si>
    <t>Lithium-Bearing Recalculation Sheet</t>
  </si>
  <si>
    <r>
      <t>user inputs Sample name, Wt% values in blue cells, then adjust H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O content (and #O, if necessary) to yield 3 apfu in Y site</t>
    </r>
  </si>
  <si>
    <t>Oln</t>
  </si>
  <si>
    <t>-Oln</t>
  </si>
  <si>
    <t>Fraction F/W:</t>
  </si>
  <si>
    <t>Fraction Cl/W:</t>
  </si>
  <si>
    <t>Mn</t>
  </si>
  <si>
    <t>Tsil</t>
  </si>
  <si>
    <t>FeTi</t>
  </si>
  <si>
    <t>-Tsil</t>
  </si>
  <si>
    <t>Li Tur</t>
  </si>
  <si>
    <t>Fe-Ti</t>
  </si>
  <si>
    <t>Tsilaisite:</t>
  </si>
  <si>
    <t>Tsilaisite</t>
  </si>
  <si>
    <t xml:space="preserve">  Li-Bearing Mole Fractions</t>
  </si>
  <si>
    <t>Table 1: 40,25,0,0,0,20,0,15</t>
  </si>
  <si>
    <t>American Mineralogist: January 2016 Deposit  AM-16-15392</t>
  </si>
  <si>
    <t>Morgan: Calculating mole fractions of tourmaline end-members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</si>
</sst>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\-0;;@"/>
    <numFmt numFmtId="165" formatCode="0.0000"/>
    <numFmt numFmtId="166" formatCode="0.000"/>
  </numFmts>
  <fonts count="1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9"/>
      <name val="Arial"/>
      <family val="2"/>
    </font>
    <font>
      <b/>
      <vertAlign val="subscript"/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Symbol"/>
      <family val="1"/>
      <charset val="2"/>
    </font>
    <font>
      <b/>
      <sz val="12"/>
      <color theme="1"/>
      <name val="Symbol"/>
      <family val="1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3" borderId="0" xfId="0" applyFont="1" applyFill="1"/>
    <xf numFmtId="0" fontId="4" fillId="3" borderId="0" xfId="0" applyFont="1" applyFill="1"/>
    <xf numFmtId="0" fontId="0" fillId="3" borderId="0" xfId="0" applyFill="1"/>
    <xf numFmtId="0" fontId="0" fillId="4" borderId="0" xfId="0" applyFill="1"/>
    <xf numFmtId="0" fontId="5" fillId="5" borderId="0" xfId="0" applyFont="1" applyFill="1"/>
    <xf numFmtId="0" fontId="0" fillId="5" borderId="0" xfId="0" applyFill="1"/>
    <xf numFmtId="0" fontId="0" fillId="6" borderId="0" xfId="0" applyFill="1"/>
    <xf numFmtId="0" fontId="6" fillId="0" borderId="1" xfId="0" applyFont="1" applyBorder="1"/>
    <xf numFmtId="0" fontId="6" fillId="0" borderId="1" xfId="0" quotePrefix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7" fillId="2" borderId="1" xfId="0" applyFont="1" applyFill="1" applyBorder="1" applyAlignment="1">
      <alignment horizontal="right"/>
    </xf>
    <xf numFmtId="0" fontId="6" fillId="7" borderId="3" xfId="0" applyFont="1" applyFill="1" applyBorder="1" applyAlignment="1">
      <alignment horizontal="left"/>
    </xf>
    <xf numFmtId="0" fontId="0" fillId="7" borderId="4" xfId="0" applyFill="1" applyBorder="1"/>
    <xf numFmtId="0" fontId="0" fillId="7" borderId="5" xfId="0" applyFill="1" applyBorder="1"/>
    <xf numFmtId="164" fontId="0" fillId="5" borderId="1" xfId="0" applyNumberFormat="1" applyFill="1" applyBorder="1"/>
    <xf numFmtId="2" fontId="0" fillId="0" borderId="1" xfId="0" applyNumberFormat="1" applyBorder="1"/>
    <xf numFmtId="165" fontId="0" fillId="0" borderId="1" xfId="0" applyNumberFormat="1" applyBorder="1"/>
    <xf numFmtId="165" fontId="6" fillId="2" borderId="1" xfId="0" applyNumberFormat="1" applyFont="1" applyFill="1" applyBorder="1"/>
    <xf numFmtId="0" fontId="0" fillId="7" borderId="6" xfId="0" applyFill="1" applyBorder="1"/>
    <xf numFmtId="2" fontId="7" fillId="7" borderId="7" xfId="0" applyNumberFormat="1" applyFont="1" applyFill="1" applyBorder="1"/>
    <xf numFmtId="0" fontId="0" fillId="7" borderId="8" xfId="0" applyFill="1" applyBorder="1" applyAlignment="1">
      <alignment horizontal="right"/>
    </xf>
    <xf numFmtId="2" fontId="0" fillId="7" borderId="9" xfId="0" applyNumberFormat="1" applyFill="1" applyBorder="1"/>
    <xf numFmtId="0" fontId="0" fillId="8" borderId="10" xfId="0" applyFill="1" applyBorder="1"/>
    <xf numFmtId="0" fontId="0" fillId="8" borderId="11" xfId="0" applyFill="1" applyBorder="1" applyAlignment="1">
      <alignment horizontal="right"/>
    </xf>
    <xf numFmtId="0" fontId="8" fillId="3" borderId="0" xfId="0" applyFont="1" applyFill="1" applyAlignment="1">
      <alignment horizontal="left"/>
    </xf>
    <xf numFmtId="165" fontId="0" fillId="3" borderId="0" xfId="0" applyNumberFormat="1" applyFill="1" applyAlignment="1">
      <alignment horizontal="center"/>
    </xf>
    <xf numFmtId="0" fontId="6" fillId="7" borderId="4" xfId="0" applyFont="1" applyFill="1" applyBorder="1"/>
    <xf numFmtId="165" fontId="6" fillId="7" borderId="5" xfId="0" applyNumberFormat="1" applyFont="1" applyFill="1" applyBorder="1"/>
    <xf numFmtId="0" fontId="7" fillId="7" borderId="0" xfId="0" applyFont="1" applyFill="1" applyAlignment="1">
      <alignment horizontal="right"/>
    </xf>
    <xf numFmtId="0" fontId="0" fillId="0" borderId="1" xfId="0" quotePrefix="1" applyBorder="1" applyAlignment="1">
      <alignment horizontal="center"/>
    </xf>
    <xf numFmtId="2" fontId="0" fillId="0" borderId="1" xfId="0" quotePrefix="1" applyNumberFormat="1" applyBorder="1" applyAlignment="1">
      <alignment horizontal="center"/>
    </xf>
    <xf numFmtId="164" fontId="0" fillId="0" borderId="1" xfId="0" applyNumberForma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2" fontId="0" fillId="0" borderId="0" xfId="0" applyNumberFormat="1"/>
    <xf numFmtId="0" fontId="6" fillId="0" borderId="0" xfId="0" applyFont="1" applyAlignment="1">
      <alignment horizontal="right"/>
    </xf>
    <xf numFmtId="0" fontId="0" fillId="7" borderId="0" xfId="0" applyFill="1" applyAlignment="1">
      <alignment horizontal="right"/>
    </xf>
    <xf numFmtId="2" fontId="0" fillId="7" borderId="7" xfId="0" applyNumberFormat="1" applyFill="1" applyBorder="1"/>
    <xf numFmtId="0" fontId="6" fillId="0" borderId="0" xfId="0" applyFont="1"/>
    <xf numFmtId="165" fontId="6" fillId="0" borderId="0" xfId="0" applyNumberFormat="1" applyFont="1"/>
    <xf numFmtId="0" fontId="0" fillId="8" borderId="13" xfId="0" applyFill="1" applyBorder="1"/>
    <xf numFmtId="0" fontId="2" fillId="9" borderId="0" xfId="0" applyFont="1" applyFill="1"/>
    <xf numFmtId="0" fontId="4" fillId="9" borderId="0" xfId="0" applyFont="1" applyFill="1"/>
    <xf numFmtId="0" fontId="4" fillId="10" borderId="0" xfId="0" applyFont="1" applyFill="1"/>
    <xf numFmtId="0" fontId="1" fillId="4" borderId="0" xfId="0" applyFont="1" applyFill="1"/>
    <xf numFmtId="0" fontId="6" fillId="5" borderId="14" xfId="0" applyFont="1" applyFill="1" applyBorder="1" applyAlignment="1">
      <alignment horizontal="left"/>
    </xf>
    <xf numFmtId="0" fontId="0" fillId="6" borderId="15" xfId="0" applyFill="1" applyBorder="1"/>
    <xf numFmtId="0" fontId="0" fillId="11" borderId="16" xfId="0" applyFill="1" applyBorder="1"/>
    <xf numFmtId="2" fontId="6" fillId="5" borderId="17" xfId="0" applyNumberFormat="1" applyFont="1" applyFill="1" applyBorder="1"/>
    <xf numFmtId="0" fontId="6" fillId="5" borderId="6" xfId="0" applyFont="1" applyFill="1" applyBorder="1" applyAlignment="1">
      <alignment horizontal="left"/>
    </xf>
    <xf numFmtId="0" fontId="0" fillId="11" borderId="7" xfId="0" applyFill="1" applyBorder="1"/>
    <xf numFmtId="2" fontId="0" fillId="5" borderId="18" xfId="0" applyNumberFormat="1" applyFill="1" applyBorder="1"/>
    <xf numFmtId="0" fontId="0" fillId="5" borderId="13" xfId="0" applyFill="1" applyBorder="1" applyAlignment="1">
      <alignment horizontal="left"/>
    </xf>
    <xf numFmtId="0" fontId="0" fillId="11" borderId="12" xfId="0" applyFill="1" applyBorder="1"/>
    <xf numFmtId="165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0" fontId="6" fillId="4" borderId="1" xfId="0" applyFont="1" applyFill="1" applyBorder="1"/>
    <xf numFmtId="165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 applyFill="1" applyBorder="1"/>
    <xf numFmtId="165" fontId="6" fillId="0" borderId="0" xfId="0" applyNumberFormat="1" applyFont="1" applyFill="1" applyBorder="1"/>
    <xf numFmtId="0" fontId="9" fillId="0" borderId="0" xfId="0" applyFont="1"/>
    <xf numFmtId="0" fontId="8" fillId="0" borderId="0" xfId="0" applyFont="1" applyFill="1" applyBorder="1" applyAlignment="1">
      <alignment horizontal="right"/>
    </xf>
    <xf numFmtId="0" fontId="0" fillId="0" borderId="0" xfId="0" quotePrefix="1" applyAlignment="1">
      <alignment horizontal="right"/>
    </xf>
    <xf numFmtId="165" fontId="0" fillId="0" borderId="0" xfId="0" applyNumberFormat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6" fillId="3" borderId="19" xfId="0" applyFont="1" applyFill="1" applyBorder="1" applyAlignment="1">
      <alignment horizontal="left"/>
    </xf>
    <xf numFmtId="2" fontId="6" fillId="3" borderId="20" xfId="0" applyNumberFormat="1" applyFont="1" applyFill="1" applyBorder="1"/>
    <xf numFmtId="0" fontId="0" fillId="3" borderId="21" xfId="0" applyFill="1" applyBorder="1"/>
    <xf numFmtId="0" fontId="6" fillId="3" borderId="22" xfId="0" applyFont="1" applyFill="1" applyBorder="1" applyAlignment="1">
      <alignment horizontal="left"/>
    </xf>
    <xf numFmtId="0" fontId="6" fillId="3" borderId="23" xfId="0" applyFont="1" applyFill="1" applyBorder="1" applyAlignment="1">
      <alignment horizontal="left"/>
    </xf>
    <xf numFmtId="0" fontId="0" fillId="3" borderId="5" xfId="0" applyFill="1" applyBorder="1"/>
    <xf numFmtId="0" fontId="0" fillId="3" borderId="24" xfId="0" applyFill="1" applyBorder="1"/>
    <xf numFmtId="0" fontId="0" fillId="3" borderId="25" xfId="0" applyFill="1" applyBorder="1"/>
    <xf numFmtId="0" fontId="0" fillId="0" borderId="0" xfId="0" applyFill="1" applyBorder="1"/>
    <xf numFmtId="0" fontId="10" fillId="0" borderId="0" xfId="0" applyFont="1" applyFill="1" applyBorder="1"/>
    <xf numFmtId="0" fontId="11" fillId="0" borderId="0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12" fillId="0" borderId="0" xfId="0" applyFont="1" applyAlignment="1">
      <alignment horizontal="right"/>
    </xf>
    <xf numFmtId="2" fontId="6" fillId="3" borderId="26" xfId="0" applyNumberFormat="1" applyFont="1" applyFill="1" applyBorder="1"/>
    <xf numFmtId="0" fontId="0" fillId="7" borderId="27" xfId="0" applyFill="1" applyBorder="1"/>
    <xf numFmtId="0" fontId="7" fillId="7" borderId="2" xfId="0" applyFont="1" applyFill="1" applyBorder="1" applyAlignment="1">
      <alignment horizontal="right"/>
    </xf>
    <xf numFmtId="2" fontId="7" fillId="7" borderId="24" xfId="0" applyNumberFormat="1" applyFont="1" applyFill="1" applyBorder="1"/>
    <xf numFmtId="2" fontId="8" fillId="12" borderId="24" xfId="0" applyNumberFormat="1" applyFont="1" applyFill="1" applyBorder="1"/>
    <xf numFmtId="0" fontId="12" fillId="0" borderId="0" xfId="0" applyFont="1"/>
    <xf numFmtId="2" fontId="8" fillId="12" borderId="12" xfId="0" applyNumberFormat="1" applyFont="1" applyFill="1" applyBorder="1"/>
    <xf numFmtId="0" fontId="6" fillId="0" borderId="0" xfId="0" applyFont="1" applyAlignment="1">
      <alignment horizontal="right"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right"/>
    </xf>
    <xf numFmtId="166" fontId="0" fillId="0" borderId="0" xfId="0" applyNumberFormat="1"/>
    <xf numFmtId="2" fontId="16" fillId="0" borderId="0" xfId="0" applyNumberFormat="1" applyFont="1"/>
    <xf numFmtId="1" fontId="6" fillId="5" borderId="1" xfId="0" applyNumberFormat="1" applyFont="1" applyFill="1" applyBorder="1"/>
    <xf numFmtId="1" fontId="6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5" fontId="6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5" fontId="6" fillId="6" borderId="1" xfId="0" applyNumberFormat="1" applyFont="1" applyFill="1" applyBorder="1"/>
    <xf numFmtId="0" fontId="0" fillId="7" borderId="14" xfId="0" applyFill="1" applyBorder="1"/>
    <xf numFmtId="0" fontId="15" fillId="7" borderId="15" xfId="0" applyFont="1" applyFill="1" applyBorder="1" applyAlignment="1">
      <alignment horizontal="right"/>
    </xf>
    <xf numFmtId="2" fontId="15" fillId="7" borderId="16" xfId="0" applyNumberFormat="1" applyFont="1" applyFill="1" applyBorder="1"/>
    <xf numFmtId="0" fontId="17" fillId="0" borderId="0" xfId="0" applyFont="1"/>
    <xf numFmtId="0" fontId="7" fillId="0" borderId="0" xfId="0" applyFont="1"/>
    <xf numFmtId="0" fontId="1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66"/>
      <color rgb="FF33CC33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urmaline%20Formula-GM-31O-%209Sept2014%20Pub%20Devel-4%20DHZ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Li-bearing"/>
      <sheetName val="Li-Free"/>
    </sheetNames>
    <sheetDataSet>
      <sheetData sheetId="0">
        <row r="3">
          <cell r="C3" t="str">
            <v>DHZ-1</v>
          </cell>
        </row>
      </sheetData>
      <sheetData sheetId="1">
        <row r="7">
          <cell r="J7" t="str">
            <v xml:space="preserve"> Liddicoatite:</v>
          </cell>
        </row>
        <row r="12">
          <cell r="J12" t="str">
            <v>Olenite:</v>
          </cell>
        </row>
        <row r="14">
          <cell r="J14" t="str">
            <v xml:space="preserve"> Sum:</v>
          </cell>
        </row>
        <row r="15">
          <cell r="J15" t="str">
            <v xml:space="preserve"> Li apfu</v>
          </cell>
        </row>
        <row r="16">
          <cell r="J16" t="str">
            <v>Y Sum</v>
          </cell>
        </row>
      </sheetData>
      <sheetData sheetId="2">
        <row r="14">
          <cell r="J14" t="str">
            <v>High-Al Tur:</v>
          </cell>
        </row>
        <row r="15">
          <cell r="J15" t="str">
            <v>sum</v>
          </cell>
        </row>
        <row r="16">
          <cell r="J16" t="str">
            <v>Y sum: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8"/>
  <sheetViews>
    <sheetView tabSelected="1" zoomScale="78" zoomScaleNormal="78" zoomScalePageLayoutView="78" workbookViewId="0">
      <selection sqref="A1:A2"/>
    </sheetView>
  </sheetViews>
  <sheetFormatPr baseColWidth="10" defaultColWidth="8.83203125" defaultRowHeight="14" x14ac:dyDescent="0"/>
  <cols>
    <col min="2" max="2" width="9.5" bestFit="1" customWidth="1"/>
    <col min="11" max="11" width="9.83203125" bestFit="1" customWidth="1"/>
  </cols>
  <sheetData>
    <row r="1" spans="1:13" ht="15">
      <c r="A1" s="113" t="s">
        <v>131</v>
      </c>
    </row>
    <row r="2" spans="1:13" ht="15">
      <c r="A2" s="114" t="s">
        <v>132</v>
      </c>
    </row>
    <row r="3" spans="1:13" ht="17">
      <c r="A3" s="1" t="s">
        <v>113</v>
      </c>
      <c r="B3" s="2"/>
      <c r="C3" s="2"/>
      <c r="D3" s="2"/>
      <c r="E3" s="2"/>
      <c r="F3" s="2"/>
    </row>
    <row r="4" spans="1:13">
      <c r="A4" s="3" t="s">
        <v>116</v>
      </c>
      <c r="B4" s="3"/>
      <c r="C4" s="4"/>
      <c r="D4" s="4"/>
      <c r="E4" s="4"/>
      <c r="F4" s="4"/>
      <c r="G4" s="4"/>
      <c r="H4" s="5"/>
      <c r="I4" s="5"/>
      <c r="J4" s="5"/>
      <c r="K4" s="5"/>
    </row>
    <row r="5" spans="1:13" ht="18">
      <c r="A5" s="1" t="s">
        <v>0</v>
      </c>
      <c r="B5" s="6"/>
      <c r="C5" s="7" t="s">
        <v>130</v>
      </c>
      <c r="D5" s="8"/>
      <c r="E5" s="8"/>
      <c r="F5" s="8"/>
      <c r="G5" s="9"/>
      <c r="H5" s="9"/>
    </row>
    <row r="6" spans="1:13">
      <c r="A6" s="10" t="s">
        <v>1</v>
      </c>
      <c r="B6" s="108">
        <v>31</v>
      </c>
      <c r="C6" s="11" t="s">
        <v>2</v>
      </c>
      <c r="D6" s="106">
        <f>B6*2</f>
        <v>62</v>
      </c>
      <c r="E6" s="10" t="s">
        <v>3</v>
      </c>
      <c r="F6" s="10"/>
    </row>
    <row r="7" spans="1:13" ht="15" thickBot="1">
      <c r="A7" s="13"/>
      <c r="B7" s="13"/>
      <c r="C7" s="13"/>
      <c r="D7" s="13"/>
      <c r="E7" s="13"/>
      <c r="F7" s="13"/>
    </row>
    <row r="8" spans="1:13" ht="15">
      <c r="A8" s="14"/>
      <c r="B8" s="10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5" t="s">
        <v>9</v>
      </c>
      <c r="I8" s="16" t="s">
        <v>10</v>
      </c>
      <c r="J8" s="17"/>
      <c r="K8" s="18"/>
    </row>
    <row r="9" spans="1:13" ht="17">
      <c r="A9" s="14" t="s">
        <v>11</v>
      </c>
      <c r="B9" s="19">
        <v>35.840000000000003</v>
      </c>
      <c r="C9" s="20">
        <v>60.09</v>
      </c>
      <c r="D9" s="21">
        <f>B9/C9</f>
        <v>0.59643867532035277</v>
      </c>
      <c r="E9" s="21">
        <f>2*D9</f>
        <v>1.1928773506407055</v>
      </c>
      <c r="F9" s="21">
        <f t="shared" ref="F9:F22" si="0">E9*$E$29</f>
        <v>12.000295775915298</v>
      </c>
      <c r="G9" s="22">
        <f>F9/2</f>
        <v>6.0001478879576489</v>
      </c>
      <c r="I9" s="91"/>
      <c r="J9" s="92" t="s">
        <v>70</v>
      </c>
      <c r="K9" s="93">
        <f>'Li-Free'!I9</f>
        <v>0.44205142153875404</v>
      </c>
      <c r="L9" s="102">
        <f>K9+K10+K11+K16</f>
        <v>0.79856392777636986</v>
      </c>
      <c r="M9" s="107" t="s">
        <v>109</v>
      </c>
    </row>
    <row r="10" spans="1:13" ht="17">
      <c r="A10" s="14" t="s">
        <v>12</v>
      </c>
      <c r="B10" s="19">
        <v>0</v>
      </c>
      <c r="C10" s="20">
        <v>79.900000000000006</v>
      </c>
      <c r="D10" s="21">
        <f t="shared" ref="D10:D22" si="1">B10/C10</f>
        <v>0</v>
      </c>
      <c r="E10" s="21">
        <f>2*D10</f>
        <v>0</v>
      </c>
      <c r="F10" s="21">
        <f t="shared" si="0"/>
        <v>0</v>
      </c>
      <c r="G10" s="22">
        <f>F10/2</f>
        <v>0</v>
      </c>
      <c r="I10" s="91"/>
      <c r="J10" s="92" t="s">
        <v>71</v>
      </c>
      <c r="K10" s="93">
        <f>'Li-Free'!I10</f>
        <v>0.20744324897550573</v>
      </c>
      <c r="L10" s="102">
        <f>K14+K15</f>
        <v>0.20143607222363014</v>
      </c>
      <c r="M10" s="107" t="s">
        <v>110</v>
      </c>
    </row>
    <row r="11" spans="1:13" ht="17">
      <c r="A11" s="14" t="s">
        <v>13</v>
      </c>
      <c r="B11" s="19">
        <v>33.700000000000003</v>
      </c>
      <c r="C11" s="20">
        <v>101.96</v>
      </c>
      <c r="D11" s="21">
        <f t="shared" si="1"/>
        <v>0.33052177324440962</v>
      </c>
      <c r="E11" s="21">
        <f>3*D11</f>
        <v>0.99156531973322881</v>
      </c>
      <c r="F11" s="21">
        <f t="shared" si="0"/>
        <v>9.9751052457720508</v>
      </c>
      <c r="G11" s="22">
        <f>F11*(2/3)</f>
        <v>6.6500701638480333</v>
      </c>
      <c r="I11" s="91"/>
      <c r="J11" s="92" t="s">
        <v>127</v>
      </c>
      <c r="K11" s="93">
        <f>'Li-Free'!I11</f>
        <v>0</v>
      </c>
      <c r="L11" s="102">
        <f>K12+K13</f>
        <v>0</v>
      </c>
      <c r="M11" s="107" t="s">
        <v>111</v>
      </c>
    </row>
    <row r="12" spans="1:13" ht="15">
      <c r="A12" s="14" t="s">
        <v>14</v>
      </c>
      <c r="B12" s="19">
        <v>11.43</v>
      </c>
      <c r="C12" s="20">
        <v>71.849999999999994</v>
      </c>
      <c r="D12" s="21">
        <f t="shared" si="1"/>
        <v>0.15908141962421712</v>
      </c>
      <c r="E12" s="21">
        <f>D12</f>
        <v>0.15908141962421712</v>
      </c>
      <c r="F12" s="21">
        <f t="shared" si="0"/>
        <v>1.6003523639020787</v>
      </c>
      <c r="G12" s="22">
        <f>F12</f>
        <v>1.6003523639020787</v>
      </c>
      <c r="I12" s="91"/>
      <c r="J12" s="92" t="s">
        <v>66</v>
      </c>
      <c r="K12" s="93">
        <f>'Li-Free'!I12</f>
        <v>0</v>
      </c>
    </row>
    <row r="13" spans="1:13" ht="15">
      <c r="A13" s="14" t="s">
        <v>15</v>
      </c>
      <c r="B13" s="19">
        <v>0</v>
      </c>
      <c r="C13" s="20">
        <v>70.94</v>
      </c>
      <c r="D13" s="21">
        <f t="shared" si="1"/>
        <v>0</v>
      </c>
      <c r="E13" s="21">
        <f t="shared" ref="E13:E18" si="2">D13</f>
        <v>0</v>
      </c>
      <c r="F13" s="21">
        <f t="shared" si="0"/>
        <v>0</v>
      </c>
      <c r="G13" s="22">
        <f t="shared" ref="G13:G15" si="3">F13</f>
        <v>0</v>
      </c>
      <c r="I13" s="91"/>
      <c r="J13" s="92" t="s">
        <v>72</v>
      </c>
      <c r="K13" s="93">
        <f>'Li-Free'!I13</f>
        <v>0</v>
      </c>
    </row>
    <row r="14" spans="1:13" ht="15">
      <c r="A14" s="14" t="s">
        <v>16</v>
      </c>
      <c r="B14" s="19">
        <v>3.01</v>
      </c>
      <c r="C14" s="20">
        <v>40.32</v>
      </c>
      <c r="D14" s="21">
        <f t="shared" si="1"/>
        <v>7.4652777777777776E-2</v>
      </c>
      <c r="E14" s="21">
        <f t="shared" si="2"/>
        <v>7.4652777777777776E-2</v>
      </c>
      <c r="F14" s="21">
        <f t="shared" si="0"/>
        <v>0.75100379208796098</v>
      </c>
      <c r="G14" s="22">
        <f t="shared" si="3"/>
        <v>0.75100379208796098</v>
      </c>
      <c r="I14" s="91"/>
      <c r="J14" s="92" t="s">
        <v>73</v>
      </c>
      <c r="K14" s="93">
        <f>'Li-Free'!I14</f>
        <v>0.13709904964290826</v>
      </c>
    </row>
    <row r="15" spans="1:13" ht="15">
      <c r="A15" s="14" t="s">
        <v>18</v>
      </c>
      <c r="B15" s="19">
        <v>0</v>
      </c>
      <c r="C15" s="20">
        <v>56.08</v>
      </c>
      <c r="D15" s="21">
        <f t="shared" si="1"/>
        <v>0</v>
      </c>
      <c r="E15" s="21">
        <f t="shared" si="2"/>
        <v>0</v>
      </c>
      <c r="F15" s="21">
        <f t="shared" si="0"/>
        <v>0</v>
      </c>
      <c r="G15" s="22">
        <f t="shared" si="3"/>
        <v>0</v>
      </c>
      <c r="I15" s="91"/>
      <c r="J15" s="92" t="s">
        <v>17</v>
      </c>
      <c r="K15" s="93">
        <f>'Li-Free'!I15</f>
        <v>6.4337022580721895E-2</v>
      </c>
    </row>
    <row r="16" spans="1:13" ht="15">
      <c r="A16" s="14" t="s">
        <v>19</v>
      </c>
      <c r="B16" s="19">
        <v>0</v>
      </c>
      <c r="C16" s="20">
        <v>29.88</v>
      </c>
      <c r="D16" s="21">
        <f t="shared" si="1"/>
        <v>0</v>
      </c>
      <c r="E16" s="21">
        <f t="shared" si="2"/>
        <v>0</v>
      </c>
      <c r="F16" s="21">
        <f t="shared" si="0"/>
        <v>0</v>
      </c>
      <c r="G16" s="22">
        <f>2*F16</f>
        <v>0</v>
      </c>
      <c r="I16" s="91"/>
      <c r="J16" s="92" t="s">
        <v>36</v>
      </c>
      <c r="K16" s="93">
        <f>'Li-Free'!I16</f>
        <v>0.14906925726211012</v>
      </c>
    </row>
    <row r="17" spans="1:13">
      <c r="A17" s="14" t="s">
        <v>20</v>
      </c>
      <c r="B17" s="19">
        <v>2.46</v>
      </c>
      <c r="C17" s="20">
        <v>61.98</v>
      </c>
      <c r="D17" s="21">
        <f t="shared" si="1"/>
        <v>3.9690222652468542E-2</v>
      </c>
      <c r="E17" s="21">
        <f t="shared" si="2"/>
        <v>3.9690222652468542E-2</v>
      </c>
      <c r="F17" s="21">
        <f t="shared" si="0"/>
        <v>0.39928196388818493</v>
      </c>
      <c r="G17" s="22">
        <f>2*F17</f>
        <v>0.79856392777636986</v>
      </c>
      <c r="I17" s="23"/>
      <c r="J17" s="25" t="str">
        <f>'[1]Li-Free'!J15</f>
        <v>sum</v>
      </c>
      <c r="K17" s="26">
        <f>SUM(K9:K16)</f>
        <v>1</v>
      </c>
    </row>
    <row r="18" spans="1:13" ht="15" thickBot="1">
      <c r="A18" s="14" t="s">
        <v>21</v>
      </c>
      <c r="B18" s="19">
        <v>0</v>
      </c>
      <c r="C18" s="20">
        <v>94.2</v>
      </c>
      <c r="D18" s="21">
        <f t="shared" si="1"/>
        <v>0</v>
      </c>
      <c r="E18" s="21">
        <f t="shared" si="2"/>
        <v>0</v>
      </c>
      <c r="F18" s="21">
        <f t="shared" si="0"/>
        <v>0</v>
      </c>
      <c r="G18" s="22">
        <f>2*F18</f>
        <v>0</v>
      </c>
      <c r="I18" s="27"/>
      <c r="J18" s="28" t="str">
        <f>'[1]Li-Free'!J16</f>
        <v>Y sum:</v>
      </c>
      <c r="K18" s="94">
        <f>'Li-Free'!I18</f>
        <v>3.0014263198380728</v>
      </c>
    </row>
    <row r="19" spans="1:13">
      <c r="A19" s="14" t="s">
        <v>22</v>
      </c>
      <c r="B19" s="19">
        <v>10.38</v>
      </c>
      <c r="C19" s="20">
        <v>69.64</v>
      </c>
      <c r="D19" s="21">
        <f t="shared" si="1"/>
        <v>0.14905226881102815</v>
      </c>
      <c r="E19" s="21">
        <f>3*D19</f>
        <v>0.44715680643308442</v>
      </c>
      <c r="F19" s="21">
        <f t="shared" si="0"/>
        <v>4.4983785906644815</v>
      </c>
      <c r="G19" s="22">
        <f>F19*(2/3)</f>
        <v>2.9989190604429874</v>
      </c>
      <c r="H19" s="29" t="s">
        <v>23</v>
      </c>
    </row>
    <row r="20" spans="1:13" ht="15" thickBot="1">
      <c r="A20" s="14" t="s">
        <v>24</v>
      </c>
      <c r="B20" s="19">
        <v>3.18</v>
      </c>
      <c r="C20" s="20">
        <v>18.016999999999999</v>
      </c>
      <c r="D20" s="21">
        <f t="shared" si="1"/>
        <v>0.17649997224843206</v>
      </c>
      <c r="E20" s="21">
        <f>D20</f>
        <v>0.17649997224843206</v>
      </c>
      <c r="F20" s="21">
        <f t="shared" si="0"/>
        <v>1.775582267769944</v>
      </c>
      <c r="G20" s="22">
        <f>2*F20</f>
        <v>3.551164535539888</v>
      </c>
      <c r="H20" s="30">
        <f>SUM(G20:G22)</f>
        <v>3.551164535539888</v>
      </c>
    </row>
    <row r="21" spans="1:13">
      <c r="A21" s="14" t="s">
        <v>25</v>
      </c>
      <c r="B21" s="19">
        <v>0</v>
      </c>
      <c r="C21" s="20">
        <v>18.998000000000001</v>
      </c>
      <c r="D21" s="21">
        <f t="shared" si="1"/>
        <v>0</v>
      </c>
      <c r="E21" s="21">
        <f>D21</f>
        <v>0</v>
      </c>
      <c r="F21" s="21">
        <f t="shared" si="0"/>
        <v>0</v>
      </c>
      <c r="G21" s="22">
        <f>F21</f>
        <v>0</v>
      </c>
      <c r="I21" s="16" t="s">
        <v>129</v>
      </c>
      <c r="J21" s="31"/>
      <c r="K21" s="32"/>
    </row>
    <row r="22" spans="1:13" ht="17">
      <c r="A22" s="14" t="s">
        <v>26</v>
      </c>
      <c r="B22" s="19">
        <v>0</v>
      </c>
      <c r="C22" s="20">
        <v>35.453000000000003</v>
      </c>
      <c r="D22" s="21">
        <f t="shared" si="1"/>
        <v>0</v>
      </c>
      <c r="E22" s="21">
        <f>D22</f>
        <v>0</v>
      </c>
      <c r="F22" s="21">
        <f t="shared" si="0"/>
        <v>0</v>
      </c>
      <c r="G22" s="22">
        <f>F22</f>
        <v>0</v>
      </c>
      <c r="I22" s="23"/>
      <c r="J22" s="33" t="str">
        <f>'[1]Li-bearing'!J7</f>
        <v xml:space="preserve"> Liddicoatite:</v>
      </c>
      <c r="K22" s="24">
        <f>'Li Sheet'!I9</f>
        <v>0</v>
      </c>
      <c r="L22" s="102">
        <f>K23+K25+K26+K27+K30</f>
        <v>0.79856392777636998</v>
      </c>
      <c r="M22" s="107" t="s">
        <v>109</v>
      </c>
    </row>
    <row r="23" spans="1:13" ht="17">
      <c r="A23" s="34" t="s">
        <v>27</v>
      </c>
      <c r="B23" s="35" t="s">
        <v>27</v>
      </c>
      <c r="C23" s="20"/>
      <c r="D23" s="14"/>
      <c r="E23" s="14"/>
      <c r="F23" s="14"/>
      <c r="G23" s="14"/>
      <c r="I23" s="23"/>
      <c r="J23" s="33" t="s">
        <v>74</v>
      </c>
      <c r="K23" s="24">
        <f>'Li Sheet'!I10</f>
        <v>0</v>
      </c>
      <c r="L23" s="102">
        <f>K24+K28+K29</f>
        <v>0.20143607222363016</v>
      </c>
      <c r="M23" s="107" t="s">
        <v>110</v>
      </c>
    </row>
    <row r="24" spans="1:13" ht="17">
      <c r="A24" s="14" t="s">
        <v>28</v>
      </c>
      <c r="B24" s="20"/>
      <c r="C24" s="20"/>
      <c r="D24" s="14"/>
      <c r="E24" s="21">
        <f>SUM(E9:E22)</f>
        <v>3.0815238691099145</v>
      </c>
      <c r="F24" s="14"/>
      <c r="G24" s="14"/>
      <c r="I24" s="23"/>
      <c r="J24" s="33" t="s">
        <v>75</v>
      </c>
      <c r="K24" s="24">
        <f>'Li Sheet'!I11</f>
        <v>0</v>
      </c>
      <c r="L24" s="102">
        <f>K22</f>
        <v>0</v>
      </c>
      <c r="M24" s="107" t="s">
        <v>111</v>
      </c>
    </row>
    <row r="25" spans="1:13" ht="15">
      <c r="A25" s="14" t="s">
        <v>29</v>
      </c>
      <c r="B25" s="20">
        <f>-B21*(16/38)</f>
        <v>0</v>
      </c>
      <c r="C25" s="20"/>
      <c r="D25" s="14"/>
      <c r="E25" s="21">
        <f>-0.5*E21</f>
        <v>0</v>
      </c>
      <c r="F25" s="14"/>
      <c r="G25" s="14"/>
      <c r="I25" s="23"/>
      <c r="J25" s="33" t="s">
        <v>127</v>
      </c>
      <c r="K25" s="24">
        <f>'Li Sheet'!I12</f>
        <v>0</v>
      </c>
    </row>
    <row r="26" spans="1:13" ht="15">
      <c r="A26" s="14" t="s">
        <v>30</v>
      </c>
      <c r="B26" s="20">
        <f>-B22*(16/70.9)</f>
        <v>0</v>
      </c>
      <c r="C26" s="20"/>
      <c r="D26" s="14"/>
      <c r="E26" s="21">
        <f>-0.5*E22</f>
        <v>0</v>
      </c>
      <c r="F26" s="14"/>
      <c r="G26" s="14"/>
      <c r="I26" s="23"/>
      <c r="J26" s="33" t="s">
        <v>70</v>
      </c>
      <c r="K26" s="24">
        <f>'Li Sheet'!I13</f>
        <v>0.39916007315160618</v>
      </c>
    </row>
    <row r="27" spans="1:13" ht="15">
      <c r="A27" s="10" t="s">
        <v>31</v>
      </c>
      <c r="B27" s="37">
        <f>SUM(B9:B26)</f>
        <v>100</v>
      </c>
      <c r="C27" s="37"/>
      <c r="D27" s="14"/>
      <c r="E27" s="38">
        <f>SUM(E24:E26)</f>
        <v>3.0815238691099145</v>
      </c>
      <c r="F27" s="14"/>
      <c r="G27" s="22">
        <f>SUM(G9:G14,G16,G19)</f>
        <v>18.00049326823871</v>
      </c>
      <c r="I27" s="23"/>
      <c r="J27" s="33" t="s">
        <v>71</v>
      </c>
      <c r="K27" s="24">
        <f>'Li Sheet'!I14</f>
        <v>0.25033459736265373</v>
      </c>
    </row>
    <row r="28" spans="1:13" ht="17">
      <c r="B28" s="39"/>
      <c r="C28" s="39"/>
      <c r="G28" s="100" t="s">
        <v>112</v>
      </c>
      <c r="I28" s="23"/>
      <c r="J28" s="33" t="s">
        <v>73</v>
      </c>
      <c r="K28" s="24">
        <f>'Li Sheet'!I15</f>
        <v>0.20143607222363016</v>
      </c>
    </row>
    <row r="29" spans="1:13" ht="15">
      <c r="D29" s="43" t="s">
        <v>32</v>
      </c>
      <c r="E29" s="44">
        <f>$B$6/E27</f>
        <v>10.059957773085245</v>
      </c>
      <c r="G29" s="97"/>
      <c r="I29" s="23"/>
      <c r="J29" s="33" t="s">
        <v>76</v>
      </c>
      <c r="K29" s="24">
        <f>'Li Sheet'!I16</f>
        <v>0</v>
      </c>
    </row>
    <row r="30" spans="1:13" ht="15">
      <c r="I30" s="23"/>
      <c r="J30" s="33" t="str">
        <f>'[1]Li-bearing'!J12</f>
        <v>Olenite:</v>
      </c>
      <c r="K30" s="24">
        <f>'Li Sheet'!I17</f>
        <v>0.14906925726211009</v>
      </c>
    </row>
    <row r="31" spans="1:13">
      <c r="I31" s="23"/>
      <c r="J31" s="41" t="str">
        <f>'[1]Li-bearing'!J14</f>
        <v xml:space="preserve"> Sum:</v>
      </c>
      <c r="K31" s="42">
        <f>SUM(K22:K30)</f>
        <v>1.0000000000000002</v>
      </c>
    </row>
    <row r="32" spans="1:13" ht="17">
      <c r="G32" s="62" t="s">
        <v>41</v>
      </c>
      <c r="I32" s="23"/>
      <c r="J32" s="41" t="str">
        <f>'[1]Li-bearing'!J15</f>
        <v xml:space="preserve"> Li apfu</v>
      </c>
      <c r="K32" s="42">
        <f>'Li Sheet'!M51</f>
        <v>0</v>
      </c>
    </row>
    <row r="33" spans="5:11" ht="15" thickBot="1">
      <c r="F33" s="63" t="s">
        <v>42</v>
      </c>
      <c r="G33" s="64">
        <f>IF(AND(G9&lt;6,G19&gt;3),G19-3,0)</f>
        <v>0</v>
      </c>
      <c r="I33" s="45"/>
      <c r="J33" s="28" t="str">
        <f>'[1]Li-bearing'!J16</f>
        <v>Y Sum</v>
      </c>
      <c r="K33" s="96">
        <f>'Li Sheet'!I20</f>
        <v>3.0014263198380728</v>
      </c>
    </row>
    <row r="34" spans="5:11">
      <c r="F34" s="65" t="s">
        <v>43</v>
      </c>
      <c r="G34" s="22">
        <f>IF(G9+G33&lt;6,6-G33-G9,0)</f>
        <v>0</v>
      </c>
    </row>
    <row r="35" spans="5:11" ht="15" thickBot="1">
      <c r="F35" s="65" t="s">
        <v>45</v>
      </c>
      <c r="G35" s="22">
        <f>IF(G11&gt;6,G11-6-G34,0)</f>
        <v>0.65007016384803329</v>
      </c>
    </row>
    <row r="36" spans="5:11" ht="16" thickBot="1">
      <c r="E36" s="60" t="s">
        <v>44</v>
      </c>
      <c r="F36" s="65" t="s">
        <v>46</v>
      </c>
      <c r="G36" s="22">
        <f>1-(G15+G17+G18)</f>
        <v>0.20143607222363014</v>
      </c>
      <c r="I36" s="109"/>
      <c r="J36" s="110" t="s">
        <v>119</v>
      </c>
      <c r="K36" s="111">
        <f>IF(G21&lt;=1,G21,1)</f>
        <v>0</v>
      </c>
    </row>
    <row r="37" spans="5:11" ht="16" thickBot="1">
      <c r="F37" s="65"/>
      <c r="G37" s="22"/>
      <c r="I37" s="109"/>
      <c r="J37" s="110" t="s">
        <v>120</v>
      </c>
      <c r="K37" s="111">
        <f>IF(G22&lt;=1,G22,1)</f>
        <v>0</v>
      </c>
    </row>
    <row r="38" spans="5:11">
      <c r="E38" s="60"/>
    </row>
  </sheetData>
  <pageMargins left="0.7" right="0.7" top="0.75" bottom="0.75" header="0.3" footer="0.3"/>
  <pageSetup scale="66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sqref="A1:A2"/>
    </sheetView>
  </sheetViews>
  <sheetFormatPr baseColWidth="10" defaultColWidth="8.83203125" defaultRowHeight="14" x14ac:dyDescent="0"/>
  <sheetData>
    <row r="1" spans="1:11" ht="15">
      <c r="A1" s="113" t="s">
        <v>131</v>
      </c>
    </row>
    <row r="2" spans="1:11" ht="15">
      <c r="A2" s="114" t="s">
        <v>132</v>
      </c>
    </row>
    <row r="3" spans="1:11" ht="17">
      <c r="A3" s="1" t="s">
        <v>115</v>
      </c>
      <c r="B3" s="2"/>
      <c r="C3" s="2"/>
      <c r="D3" s="2"/>
      <c r="E3" s="2"/>
    </row>
    <row r="4" spans="1:11">
      <c r="A4" s="46" t="s">
        <v>33</v>
      </c>
      <c r="B4" s="46"/>
      <c r="C4" s="47"/>
      <c r="D4" s="47"/>
      <c r="E4" s="47"/>
      <c r="F4" s="48"/>
      <c r="G4" s="48"/>
    </row>
    <row r="5" spans="1:11" ht="18">
      <c r="A5" s="1" t="s">
        <v>34</v>
      </c>
      <c r="B5" s="49"/>
      <c r="C5" s="7" t="str">
        <f>Sheet1!C5</f>
        <v>Table 1: 40,25,0,0,0,20,0,15</v>
      </c>
      <c r="D5" s="8"/>
      <c r="E5" s="8"/>
      <c r="F5" s="8"/>
      <c r="G5" s="8"/>
      <c r="H5" s="8"/>
    </row>
    <row r="6" spans="1:11">
      <c r="A6" s="10" t="s">
        <v>1</v>
      </c>
      <c r="B6" s="103">
        <f>Sheet1!B6</f>
        <v>31</v>
      </c>
      <c r="C6" s="11" t="s">
        <v>2</v>
      </c>
      <c r="D6" s="104">
        <f>B6*2</f>
        <v>62</v>
      </c>
      <c r="E6" s="10" t="s">
        <v>3</v>
      </c>
      <c r="F6" s="10"/>
    </row>
    <row r="7" spans="1:11" ht="15" thickBot="1">
      <c r="A7" s="13"/>
      <c r="B7" s="13"/>
      <c r="C7" s="13"/>
      <c r="D7" s="13"/>
      <c r="E7" s="13"/>
      <c r="F7" s="13"/>
    </row>
    <row r="8" spans="1:11" ht="16" thickBot="1">
      <c r="A8" s="14"/>
      <c r="B8" s="10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5" t="s">
        <v>9</v>
      </c>
      <c r="I8" s="50" t="s">
        <v>35</v>
      </c>
      <c r="J8" s="51"/>
      <c r="K8" s="52"/>
    </row>
    <row r="9" spans="1:11">
      <c r="A9" s="14" t="s">
        <v>11</v>
      </c>
      <c r="B9" s="19">
        <f>Sheet1!B9</f>
        <v>35.840000000000003</v>
      </c>
      <c r="C9" s="20">
        <v>60.09</v>
      </c>
      <c r="D9" s="21">
        <f>B9/C9</f>
        <v>0.59643867532035277</v>
      </c>
      <c r="E9" s="21">
        <f>2*D9</f>
        <v>1.1928773506407055</v>
      </c>
      <c r="F9" s="21">
        <f t="shared" ref="F9:F22" si="0">E9*$E$29</f>
        <v>12.000295775915298</v>
      </c>
      <c r="G9" s="22">
        <f>F9/2</f>
        <v>6.0001478879576489</v>
      </c>
      <c r="I9" s="53">
        <f>D42/SUM($D$42:$L$42)</f>
        <v>0</v>
      </c>
      <c r="J9" s="54" t="s">
        <v>77</v>
      </c>
      <c r="K9" s="55"/>
    </row>
    <row r="10" spans="1:11">
      <c r="A10" s="14" t="s">
        <v>12</v>
      </c>
      <c r="B10" s="19">
        <f>Sheet1!B10</f>
        <v>0</v>
      </c>
      <c r="C10" s="20">
        <v>79.900000000000006</v>
      </c>
      <c r="D10" s="21">
        <f t="shared" ref="D10:D22" si="1">B10/C10</f>
        <v>0</v>
      </c>
      <c r="E10" s="21">
        <f>2*D10</f>
        <v>0</v>
      </c>
      <c r="F10" s="21">
        <f t="shared" si="0"/>
        <v>0</v>
      </c>
      <c r="G10" s="22">
        <f>F10/2</f>
        <v>0</v>
      </c>
      <c r="I10" s="53">
        <f>K$42/SUM($D$42:$L$42)</f>
        <v>0</v>
      </c>
      <c r="J10" s="54" t="s">
        <v>78</v>
      </c>
      <c r="K10" s="55"/>
    </row>
    <row r="11" spans="1:11">
      <c r="A11" s="14" t="s">
        <v>13</v>
      </c>
      <c r="B11" s="19">
        <f>Sheet1!B11</f>
        <v>33.700000000000003</v>
      </c>
      <c r="C11" s="20">
        <v>101.96</v>
      </c>
      <c r="D11" s="21">
        <f t="shared" si="1"/>
        <v>0.33052177324440962</v>
      </c>
      <c r="E11" s="21">
        <f>3*D11</f>
        <v>0.99156531973322881</v>
      </c>
      <c r="F11" s="21">
        <f t="shared" si="0"/>
        <v>9.9751052457720508</v>
      </c>
      <c r="G11" s="22">
        <f>F11*(2/3)</f>
        <v>6.6500701638480333</v>
      </c>
      <c r="I11" s="53">
        <f>J$42/SUM($D$42:$L$42)</f>
        <v>0</v>
      </c>
      <c r="J11" s="54" t="s">
        <v>79</v>
      </c>
      <c r="K11" s="55"/>
    </row>
    <row r="12" spans="1:11">
      <c r="A12" s="14" t="s">
        <v>14</v>
      </c>
      <c r="B12" s="19">
        <f>Sheet1!B12</f>
        <v>11.43</v>
      </c>
      <c r="C12" s="20">
        <v>71.849999999999994</v>
      </c>
      <c r="D12" s="21">
        <f t="shared" si="1"/>
        <v>0.15908141962421712</v>
      </c>
      <c r="E12" s="21">
        <f>D12</f>
        <v>0.15908141962421712</v>
      </c>
      <c r="F12" s="21">
        <f t="shared" si="0"/>
        <v>1.6003523639020787</v>
      </c>
      <c r="G12" s="22">
        <f>F12</f>
        <v>1.6003523639020787</v>
      </c>
      <c r="I12" s="53">
        <f>G$42/SUM($D$42:$L$42)</f>
        <v>0</v>
      </c>
      <c r="J12" s="54" t="s">
        <v>128</v>
      </c>
      <c r="K12" s="55"/>
    </row>
    <row r="13" spans="1:11">
      <c r="A13" s="14" t="s">
        <v>15</v>
      </c>
      <c r="B13" s="19">
        <f>Sheet1!B13</f>
        <v>0</v>
      </c>
      <c r="C13" s="20">
        <v>70.94</v>
      </c>
      <c r="D13" s="21">
        <f t="shared" si="1"/>
        <v>0</v>
      </c>
      <c r="E13" s="21">
        <f t="shared" ref="E13:E18" si="2">D13</f>
        <v>0</v>
      </c>
      <c r="F13" s="21">
        <f t="shared" si="0"/>
        <v>0</v>
      </c>
      <c r="G13" s="22">
        <f t="shared" ref="G13:G15" si="3">F13</f>
        <v>0</v>
      </c>
      <c r="I13" s="53">
        <f>H$42/SUM($D$42:$L$42)</f>
        <v>0.39916007315160618</v>
      </c>
      <c r="J13" s="54" t="s">
        <v>64</v>
      </c>
      <c r="K13" s="55"/>
    </row>
    <row r="14" spans="1:11">
      <c r="A14" s="14" t="s">
        <v>16</v>
      </c>
      <c r="B14" s="19">
        <f>Sheet1!B14</f>
        <v>3.01</v>
      </c>
      <c r="C14" s="20">
        <v>40.32</v>
      </c>
      <c r="D14" s="21">
        <f t="shared" si="1"/>
        <v>7.4652777777777776E-2</v>
      </c>
      <c r="E14" s="21">
        <f t="shared" si="2"/>
        <v>7.4652777777777776E-2</v>
      </c>
      <c r="F14" s="21">
        <f t="shared" si="0"/>
        <v>0.75100379208796098</v>
      </c>
      <c r="G14" s="22">
        <f t="shared" si="3"/>
        <v>0.75100379208796098</v>
      </c>
      <c r="I14" s="53">
        <f>I$42/SUM($D$42:$L$42)</f>
        <v>0.25033459736265373</v>
      </c>
      <c r="J14" s="54" t="s">
        <v>65</v>
      </c>
      <c r="K14" s="55"/>
    </row>
    <row r="15" spans="1:11">
      <c r="A15" s="14" t="s">
        <v>18</v>
      </c>
      <c r="B15" s="19">
        <f>Sheet1!B15</f>
        <v>0</v>
      </c>
      <c r="C15" s="20">
        <v>56.08</v>
      </c>
      <c r="D15" s="21">
        <f t="shared" si="1"/>
        <v>0</v>
      </c>
      <c r="E15" s="21">
        <f t="shared" si="2"/>
        <v>0</v>
      </c>
      <c r="F15" s="21">
        <f t="shared" si="0"/>
        <v>0</v>
      </c>
      <c r="G15" s="22">
        <f t="shared" si="3"/>
        <v>0</v>
      </c>
      <c r="I15" s="53">
        <f>E$42/SUM($D$42:$L$42)</f>
        <v>0.20143607222363016</v>
      </c>
      <c r="J15" s="54" t="s">
        <v>68</v>
      </c>
      <c r="K15" s="55"/>
    </row>
    <row r="16" spans="1:11">
      <c r="A16" s="14" t="s">
        <v>19</v>
      </c>
      <c r="B16" s="19">
        <f>Sheet1!B16</f>
        <v>0</v>
      </c>
      <c r="C16" s="20">
        <v>29.88</v>
      </c>
      <c r="D16" s="21">
        <f t="shared" si="1"/>
        <v>0</v>
      </c>
      <c r="E16" s="21">
        <f t="shared" si="2"/>
        <v>0</v>
      </c>
      <c r="F16" s="21">
        <f t="shared" si="0"/>
        <v>0</v>
      </c>
      <c r="G16" s="22">
        <f>2*F16</f>
        <v>0</v>
      </c>
      <c r="I16" s="53">
        <f>F$42/SUM($D$42:$L$42)</f>
        <v>0</v>
      </c>
      <c r="J16" s="54" t="s">
        <v>17</v>
      </c>
      <c r="K16" s="55"/>
    </row>
    <row r="17" spans="1:11">
      <c r="A17" s="14" t="s">
        <v>20</v>
      </c>
      <c r="B17" s="19">
        <f>Sheet1!B17</f>
        <v>2.46</v>
      </c>
      <c r="C17" s="20">
        <v>61.98</v>
      </c>
      <c r="D17" s="21">
        <f t="shared" si="1"/>
        <v>3.9690222652468542E-2</v>
      </c>
      <c r="E17" s="21">
        <f t="shared" si="2"/>
        <v>3.9690222652468542E-2</v>
      </c>
      <c r="F17" s="21">
        <f t="shared" si="0"/>
        <v>0.39928196388818493</v>
      </c>
      <c r="G17" s="22">
        <f>2*F17</f>
        <v>0.79856392777636986</v>
      </c>
      <c r="I17" s="53">
        <f>L$42/SUM($D$42:$L$42)</f>
        <v>0.14906925726211009</v>
      </c>
      <c r="J17" s="54" t="s">
        <v>36</v>
      </c>
      <c r="K17" s="55"/>
    </row>
    <row r="18" spans="1:11">
      <c r="A18" s="14" t="s">
        <v>21</v>
      </c>
      <c r="B18" s="19">
        <f>Sheet1!B18</f>
        <v>0</v>
      </c>
      <c r="C18" s="20">
        <v>94.2</v>
      </c>
      <c r="D18" s="21">
        <f t="shared" si="1"/>
        <v>0</v>
      </c>
      <c r="E18" s="21">
        <f t="shared" si="2"/>
        <v>0</v>
      </c>
      <c r="F18" s="21">
        <f t="shared" si="0"/>
        <v>0</v>
      </c>
      <c r="G18" s="22">
        <f>2*F18</f>
        <v>0</v>
      </c>
      <c r="I18" s="53">
        <f>SUM(I9:I17)</f>
        <v>1.0000000000000002</v>
      </c>
      <c r="J18" s="54" t="s">
        <v>37</v>
      </c>
      <c r="K18" s="55"/>
    </row>
    <row r="19" spans="1:11" ht="15" thickBot="1">
      <c r="A19" s="14" t="s">
        <v>22</v>
      </c>
      <c r="B19" s="19">
        <f>Sheet1!B19</f>
        <v>10.38</v>
      </c>
      <c r="C19" s="20">
        <v>69.64</v>
      </c>
      <c r="D19" s="21">
        <f t="shared" si="1"/>
        <v>0.14905226881102815</v>
      </c>
      <c r="E19" s="21">
        <f>3*D19</f>
        <v>0.44715680643308442</v>
      </c>
      <c r="F19" s="21">
        <f t="shared" si="0"/>
        <v>4.4983785906644815</v>
      </c>
      <c r="G19" s="22">
        <f>F19*(2/3)</f>
        <v>2.9989190604429874</v>
      </c>
      <c r="H19" s="60"/>
      <c r="I19" s="56">
        <f>M51</f>
        <v>0</v>
      </c>
      <c r="J19" s="57" t="s">
        <v>38</v>
      </c>
      <c r="K19" s="58"/>
    </row>
    <row r="20" spans="1:11">
      <c r="A20" s="14" t="s">
        <v>24</v>
      </c>
      <c r="B20" s="19">
        <f>Sheet1!B20</f>
        <v>3.18</v>
      </c>
      <c r="C20" s="20">
        <v>18.016999999999999</v>
      </c>
      <c r="D20" s="21">
        <f t="shared" si="1"/>
        <v>0.17649997224843206</v>
      </c>
      <c r="E20" s="21">
        <f>D20</f>
        <v>0.17649997224843206</v>
      </c>
      <c r="F20" s="21">
        <f t="shared" si="0"/>
        <v>1.775582267769944</v>
      </c>
      <c r="G20" s="22">
        <f>2*F20</f>
        <v>3.551164535539888</v>
      </c>
      <c r="H20" s="60" t="s">
        <v>40</v>
      </c>
      <c r="I20" s="101">
        <f>G37</f>
        <v>3.0014263198380728</v>
      </c>
      <c r="J20" t="s">
        <v>39</v>
      </c>
    </row>
    <row r="21" spans="1:11">
      <c r="A21" s="14" t="s">
        <v>25</v>
      </c>
      <c r="B21" s="19">
        <f>Sheet1!B21</f>
        <v>0</v>
      </c>
      <c r="C21" s="20">
        <v>18.998000000000001</v>
      </c>
      <c r="D21" s="21">
        <f t="shared" si="1"/>
        <v>0</v>
      </c>
      <c r="E21" s="21">
        <f>D21</f>
        <v>0</v>
      </c>
      <c r="F21" s="21">
        <f t="shared" si="0"/>
        <v>0</v>
      </c>
      <c r="G21" s="22">
        <f>F21</f>
        <v>0</v>
      </c>
      <c r="I21" s="101"/>
    </row>
    <row r="22" spans="1:11">
      <c r="A22" s="14" t="s">
        <v>26</v>
      </c>
      <c r="B22" s="19">
        <f>Sheet1!B22</f>
        <v>0</v>
      </c>
      <c r="C22" s="20">
        <v>35.453000000000003</v>
      </c>
      <c r="D22" s="21">
        <f t="shared" si="1"/>
        <v>0</v>
      </c>
      <c r="E22" s="21">
        <f>D22</f>
        <v>0</v>
      </c>
      <c r="F22" s="21">
        <f t="shared" si="0"/>
        <v>0</v>
      </c>
      <c r="G22" s="22">
        <f>F22</f>
        <v>0</v>
      </c>
    </row>
    <row r="23" spans="1:11">
      <c r="A23" s="34" t="s">
        <v>27</v>
      </c>
      <c r="B23" s="35" t="s">
        <v>27</v>
      </c>
      <c r="C23" s="20"/>
      <c r="D23" s="14"/>
      <c r="E23" s="14"/>
      <c r="F23" s="14"/>
      <c r="G23" s="14"/>
      <c r="I23" s="61">
        <f>G20+G21+G22</f>
        <v>3.551164535539888</v>
      </c>
    </row>
    <row r="24" spans="1:11">
      <c r="A24" s="14" t="s">
        <v>28</v>
      </c>
      <c r="B24" s="20"/>
      <c r="C24" s="20"/>
      <c r="D24" s="14"/>
      <c r="E24" s="21">
        <f>SUM(E9:E22)</f>
        <v>3.0815238691099145</v>
      </c>
      <c r="F24" s="14"/>
      <c r="G24" s="14"/>
    </row>
    <row r="25" spans="1:11">
      <c r="A25" s="14" t="s">
        <v>29</v>
      </c>
      <c r="B25" s="20">
        <f>-B21*(16/38)</f>
        <v>0</v>
      </c>
      <c r="C25" s="20"/>
      <c r="D25" s="14"/>
      <c r="E25" s="21">
        <f>-0.5*E21</f>
        <v>0</v>
      </c>
      <c r="F25" s="14"/>
      <c r="G25" s="14"/>
    </row>
    <row r="26" spans="1:11">
      <c r="A26" s="14" t="s">
        <v>30</v>
      </c>
      <c r="B26" s="36">
        <f>-B22*(16/70.9)</f>
        <v>0</v>
      </c>
      <c r="C26" s="20"/>
      <c r="D26" s="14"/>
      <c r="E26" s="21">
        <f>-0.5*E22</f>
        <v>0</v>
      </c>
      <c r="F26" s="14"/>
      <c r="G26" s="14"/>
    </row>
    <row r="27" spans="1:11">
      <c r="A27" s="10" t="s">
        <v>31</v>
      </c>
      <c r="B27" s="37">
        <f>SUM(B9:B26)</f>
        <v>100</v>
      </c>
      <c r="C27" s="37"/>
      <c r="D27" s="14"/>
      <c r="E27" s="38">
        <f>SUM(E24:E26)</f>
        <v>3.0815238691099145</v>
      </c>
      <c r="F27" s="14"/>
      <c r="G27" s="22">
        <f>SUM(G9:G14,G16,G19)</f>
        <v>18.00049326823871</v>
      </c>
    </row>
    <row r="28" spans="1:11" ht="17">
      <c r="B28" s="39"/>
      <c r="C28" s="39"/>
      <c r="G28" s="100" t="s">
        <v>112</v>
      </c>
    </row>
    <row r="29" spans="1:11">
      <c r="D29" s="43" t="s">
        <v>32</v>
      </c>
      <c r="E29" s="44">
        <f>$B$6/E27</f>
        <v>10.059957773085245</v>
      </c>
      <c r="G29" s="40"/>
    </row>
    <row r="32" spans="1:11" ht="17">
      <c r="G32" s="62" t="s">
        <v>41</v>
      </c>
    </row>
    <row r="33" spans="2:13">
      <c r="F33" s="63" t="s">
        <v>42</v>
      </c>
      <c r="G33" s="64">
        <f>IF(AND(G9&lt;6,G19&gt;3),G19-3,0)</f>
        <v>0</v>
      </c>
    </row>
    <row r="34" spans="2:13">
      <c r="F34" s="65" t="s">
        <v>43</v>
      </c>
      <c r="G34" s="22">
        <f>IF(G9+G33&lt;6,6-G33-G9,0)</f>
        <v>0</v>
      </c>
      <c r="H34" s="66"/>
    </row>
    <row r="35" spans="2:13">
      <c r="E35" s="60" t="s">
        <v>44</v>
      </c>
      <c r="F35" s="65" t="s">
        <v>45</v>
      </c>
      <c r="G35" s="22">
        <f>IF(G11&gt;6,G11-6-G34,0)</f>
        <v>0.65007016384803329</v>
      </c>
      <c r="H35" s="66"/>
    </row>
    <row r="36" spans="2:13">
      <c r="F36" s="65" t="s">
        <v>46</v>
      </c>
      <c r="G36" s="22">
        <f>1-(G15+G17+G18)</f>
        <v>0.20143607222363014</v>
      </c>
      <c r="H36" s="66"/>
    </row>
    <row r="37" spans="2:13">
      <c r="E37" s="60"/>
      <c r="F37" s="65" t="s">
        <v>102</v>
      </c>
      <c r="G37" s="22">
        <f>G35+SUM(G10,G12:G14,M51)</f>
        <v>3.0014263198380728</v>
      </c>
    </row>
    <row r="38" spans="2:13">
      <c r="G38" s="60"/>
    </row>
    <row r="39" spans="2:13">
      <c r="D39" s="43" t="s">
        <v>47</v>
      </c>
    </row>
    <row r="40" spans="2:13" ht="18">
      <c r="B40" s="95"/>
      <c r="D40" s="112" t="s">
        <v>125</v>
      </c>
    </row>
    <row r="41" spans="2:13">
      <c r="D41" s="67" t="s">
        <v>101</v>
      </c>
      <c r="E41" s="67" t="s">
        <v>96</v>
      </c>
      <c r="F41" s="67" t="s">
        <v>97</v>
      </c>
      <c r="G41" s="67" t="s">
        <v>122</v>
      </c>
      <c r="H41" s="67" t="s">
        <v>88</v>
      </c>
      <c r="I41" s="67" t="s">
        <v>87</v>
      </c>
      <c r="J41" s="67" t="s">
        <v>48</v>
      </c>
      <c r="K41" s="67" t="s">
        <v>49</v>
      </c>
      <c r="L41" s="67" t="s">
        <v>50</v>
      </c>
      <c r="M41" s="67" t="s">
        <v>51</v>
      </c>
    </row>
    <row r="42" spans="2:13">
      <c r="D42" s="59">
        <f>IF(C44&gt;0,C44,0)</f>
        <v>0</v>
      </c>
      <c r="E42" s="59">
        <f>IF(D46/2&lt;=C49,D46/2,C49)</f>
        <v>0.20143607222363014</v>
      </c>
      <c r="F42" s="74">
        <f>IF(AND(E45&gt;=0,E45/2&lt;=E49),E45/2,E49)</f>
        <v>0</v>
      </c>
      <c r="G42" s="74">
        <f>F47/3</f>
        <v>0</v>
      </c>
      <c r="H42" s="59">
        <f>IF(G46&gt;0,G46/3,0)</f>
        <v>0.39916007315160612</v>
      </c>
      <c r="I42" s="74">
        <f>IF(H45&gt;=0,H45/3,0)</f>
        <v>0.25033459736265368</v>
      </c>
      <c r="J42" s="59">
        <f>IF(I49&gt;0,I49,0)</f>
        <v>0</v>
      </c>
      <c r="K42" s="59">
        <f>IF((C53+J51)&lt;3,(3-(C53+J51))/1.5,0)</f>
        <v>0</v>
      </c>
      <c r="L42" s="59">
        <f>IF(K48&gt;0,K48,0)</f>
        <v>0.14906925726211007</v>
      </c>
    </row>
    <row r="43" spans="2:13">
      <c r="C43" t="s">
        <v>52</v>
      </c>
      <c r="D43" s="68" t="s">
        <v>53</v>
      </c>
      <c r="E43" s="68" t="s">
        <v>54</v>
      </c>
      <c r="F43" s="68" t="s">
        <v>100</v>
      </c>
      <c r="G43" s="68" t="s">
        <v>124</v>
      </c>
      <c r="H43" s="68" t="s">
        <v>94</v>
      </c>
      <c r="I43" s="68" t="s">
        <v>93</v>
      </c>
      <c r="J43" s="68" t="s">
        <v>55</v>
      </c>
      <c r="K43" s="68" t="s">
        <v>56</v>
      </c>
      <c r="L43" s="68" t="s">
        <v>57</v>
      </c>
    </row>
    <row r="44" spans="2:13">
      <c r="B44" t="s">
        <v>58</v>
      </c>
      <c r="C44" s="59">
        <f>G15</f>
        <v>0</v>
      </c>
      <c r="D44" s="59">
        <f>C44-D42</f>
        <v>0</v>
      </c>
      <c r="E44" s="59">
        <f>D44</f>
        <v>0</v>
      </c>
      <c r="F44" s="59">
        <f>E4</f>
        <v>0</v>
      </c>
      <c r="G44" s="59">
        <f>F44</f>
        <v>0</v>
      </c>
      <c r="H44" s="59">
        <f>G44</f>
        <v>0</v>
      </c>
      <c r="I44" s="59">
        <f t="shared" ref="I44" si="4">H44</f>
        <v>0</v>
      </c>
      <c r="J44" s="59">
        <f>H44</f>
        <v>0</v>
      </c>
      <c r="K44" s="59">
        <f t="shared" ref="K44:K47" si="5">J44</f>
        <v>0</v>
      </c>
      <c r="L44" s="59">
        <f>K44</f>
        <v>0</v>
      </c>
      <c r="M44" s="59">
        <f>L44</f>
        <v>0</v>
      </c>
    </row>
    <row r="45" spans="2:13">
      <c r="B45" t="s">
        <v>99</v>
      </c>
      <c r="C45" s="59">
        <f>G14</f>
        <v>0.75100379208796098</v>
      </c>
      <c r="D45" s="59">
        <f>C45</f>
        <v>0.75100379208796098</v>
      </c>
      <c r="E45" s="59">
        <f>D45</f>
        <v>0.75100379208796098</v>
      </c>
      <c r="F45" s="59">
        <f>E45-(2*F42)</f>
        <v>0.75100379208796098</v>
      </c>
      <c r="G45" s="59">
        <f>F45</f>
        <v>0.75100379208796098</v>
      </c>
      <c r="H45" s="59">
        <f>G45</f>
        <v>0.75100379208796098</v>
      </c>
      <c r="I45" s="59">
        <f>H45-(3*I42)</f>
        <v>0</v>
      </c>
      <c r="J45" s="59">
        <f>I45</f>
        <v>0</v>
      </c>
      <c r="K45" s="59">
        <f t="shared" si="5"/>
        <v>0</v>
      </c>
      <c r="L45" s="59">
        <f>K45</f>
        <v>0</v>
      </c>
      <c r="M45" s="59">
        <f t="shared" ref="M45:M55" si="6">L45</f>
        <v>0</v>
      </c>
    </row>
    <row r="46" spans="2:13">
      <c r="B46" t="s">
        <v>123</v>
      </c>
      <c r="C46" s="59">
        <f>G12+G10</f>
        <v>1.6003523639020787</v>
      </c>
      <c r="D46" s="59">
        <f>C46</f>
        <v>1.6003523639020787</v>
      </c>
      <c r="E46" s="59">
        <f>D46-(2*E42)</f>
        <v>1.1974802194548184</v>
      </c>
      <c r="F46" s="59">
        <f>E46</f>
        <v>1.1974802194548184</v>
      </c>
      <c r="G46" s="59">
        <f>F46</f>
        <v>1.1974802194548184</v>
      </c>
      <c r="H46" s="59">
        <f>G46-3*H42</f>
        <v>0</v>
      </c>
      <c r="I46" s="59">
        <f>H46</f>
        <v>0</v>
      </c>
      <c r="J46" s="59">
        <f>H46</f>
        <v>0</v>
      </c>
      <c r="K46" s="59">
        <f t="shared" si="5"/>
        <v>0</v>
      </c>
      <c r="L46" s="59">
        <f>K46</f>
        <v>0</v>
      </c>
      <c r="M46" s="59">
        <f t="shared" si="6"/>
        <v>0</v>
      </c>
    </row>
    <row r="47" spans="2:13">
      <c r="B47" t="s">
        <v>121</v>
      </c>
      <c r="C47" s="59">
        <f>G13</f>
        <v>0</v>
      </c>
      <c r="D47" s="59">
        <f>C47</f>
        <v>0</v>
      </c>
      <c r="E47" s="59">
        <f>D47</f>
        <v>0</v>
      </c>
      <c r="F47" s="59">
        <f>E47</f>
        <v>0</v>
      </c>
      <c r="G47" s="59">
        <f>F47-(3*G42)</f>
        <v>0</v>
      </c>
      <c r="H47" s="59">
        <f>G47</f>
        <v>0</v>
      </c>
      <c r="I47" s="59">
        <f>H47</f>
        <v>0</v>
      </c>
      <c r="J47" s="59">
        <f>I47</f>
        <v>0</v>
      </c>
      <c r="K47" s="59">
        <f t="shared" si="5"/>
        <v>0</v>
      </c>
      <c r="L47" s="59">
        <f t="shared" ref="L47" si="7">K47</f>
        <v>0</v>
      </c>
      <c r="M47" s="59">
        <f t="shared" si="6"/>
        <v>0</v>
      </c>
    </row>
    <row r="48" spans="2:13">
      <c r="B48" t="s">
        <v>59</v>
      </c>
      <c r="C48" s="59">
        <f>G17</f>
        <v>0.79856392777636986</v>
      </c>
      <c r="D48" s="59">
        <f>C48</f>
        <v>0.79856392777636986</v>
      </c>
      <c r="E48" s="59">
        <f>D48</f>
        <v>0.79856392777636986</v>
      </c>
      <c r="F48" s="59">
        <f>E48</f>
        <v>0.79856392777636986</v>
      </c>
      <c r="G48" s="59">
        <f>F48-G42</f>
        <v>0.79856392777636986</v>
      </c>
      <c r="H48" s="59">
        <f>G48-H42</f>
        <v>0.39940385462476374</v>
      </c>
      <c r="I48" s="59">
        <f>H48-I42</f>
        <v>0.14906925726211007</v>
      </c>
      <c r="J48" s="59">
        <f>I48</f>
        <v>0.14906925726211007</v>
      </c>
      <c r="K48" s="59">
        <f>J48-K42</f>
        <v>0.14906925726211007</v>
      </c>
      <c r="L48" s="59">
        <f>K48-L42</f>
        <v>0</v>
      </c>
      <c r="M48" s="59">
        <f t="shared" si="6"/>
        <v>0</v>
      </c>
    </row>
    <row r="49" spans="2:13">
      <c r="B49" t="s">
        <v>60</v>
      </c>
      <c r="C49" s="59">
        <f>IF(G36&gt;0,G36,0)</f>
        <v>0.20143607222363014</v>
      </c>
      <c r="D49" s="59">
        <f>C49</f>
        <v>0.20143607222363014</v>
      </c>
      <c r="E49" s="59">
        <f>D49-E42</f>
        <v>0</v>
      </c>
      <c r="F49" s="59">
        <f>E49-F42</f>
        <v>0</v>
      </c>
      <c r="G49" s="59">
        <f t="shared" ref="G49:H51" si="8">F49</f>
        <v>0</v>
      </c>
      <c r="H49" s="59">
        <f t="shared" si="8"/>
        <v>0</v>
      </c>
      <c r="I49" s="59">
        <f t="shared" ref="I49:I51" si="9">H49</f>
        <v>0</v>
      </c>
      <c r="J49" s="59">
        <f>H49-J42</f>
        <v>0</v>
      </c>
      <c r="K49" s="59">
        <f>J49</f>
        <v>0</v>
      </c>
      <c r="L49" s="59">
        <f>K49</f>
        <v>0</v>
      </c>
      <c r="M49" s="59">
        <f t="shared" si="6"/>
        <v>0</v>
      </c>
    </row>
    <row r="50" spans="2:13">
      <c r="B50" t="s">
        <v>45</v>
      </c>
      <c r="C50" s="59">
        <f>G35</f>
        <v>0.65007016384803329</v>
      </c>
      <c r="D50" s="59">
        <f>C50-D42</f>
        <v>0.65007016384803329</v>
      </c>
      <c r="E50" s="59">
        <f>D50-E42</f>
        <v>0.44863409162440315</v>
      </c>
      <c r="F50" s="59">
        <f>E50-F42</f>
        <v>0.44863409162440315</v>
      </c>
      <c r="G50" s="59">
        <f t="shared" si="8"/>
        <v>0.44863409162440315</v>
      </c>
      <c r="H50" s="59">
        <f t="shared" si="8"/>
        <v>0.44863409162440315</v>
      </c>
      <c r="I50" s="59">
        <f t="shared" si="9"/>
        <v>0.44863409162440315</v>
      </c>
      <c r="J50" s="59">
        <f>H50-(2*J42)</f>
        <v>0.44863409162440315</v>
      </c>
      <c r="K50" s="59">
        <f>J50-(1.5*K42)</f>
        <v>0.44863409162440315</v>
      </c>
      <c r="L50" s="59">
        <f>K50-(3*L42)</f>
        <v>1.4263198380729536E-3</v>
      </c>
      <c r="M50" s="59">
        <f t="shared" si="6"/>
        <v>1.4263198380729536E-3</v>
      </c>
    </row>
    <row r="51" spans="2:13">
      <c r="B51" t="s">
        <v>61</v>
      </c>
      <c r="C51" s="59">
        <f>0</f>
        <v>0</v>
      </c>
      <c r="D51" s="59">
        <f>D42*2</f>
        <v>0</v>
      </c>
      <c r="E51" s="59">
        <f>D51</f>
        <v>0</v>
      </c>
      <c r="F51" s="59">
        <f>E51</f>
        <v>0</v>
      </c>
      <c r="G51" s="59">
        <f t="shared" si="8"/>
        <v>0</v>
      </c>
      <c r="H51" s="59">
        <f t="shared" si="8"/>
        <v>0</v>
      </c>
      <c r="I51" s="59">
        <f t="shared" si="9"/>
        <v>0</v>
      </c>
      <c r="J51" s="59">
        <f>H51+J42</f>
        <v>0</v>
      </c>
      <c r="K51" s="59">
        <f>J51+(1.5*K42)</f>
        <v>0</v>
      </c>
      <c r="L51" s="59">
        <f>K51</f>
        <v>0</v>
      </c>
      <c r="M51" s="59">
        <f t="shared" si="6"/>
        <v>0</v>
      </c>
    </row>
    <row r="52" spans="2:13">
      <c r="B52" t="s">
        <v>62</v>
      </c>
      <c r="C52" s="59">
        <f>G9+G34</f>
        <v>6.0001478879576489</v>
      </c>
      <c r="D52" s="59">
        <f>C52-(6*D42)</f>
        <v>6.0001478879576489</v>
      </c>
      <c r="E52" s="59">
        <f t="shared" ref="E52:G52" si="10">D52-(6*E42)</f>
        <v>4.7915314546158676</v>
      </c>
      <c r="F52" s="59">
        <f t="shared" si="10"/>
        <v>4.7915314546158676</v>
      </c>
      <c r="G52" s="59">
        <f t="shared" si="10"/>
        <v>4.7915314546158676</v>
      </c>
      <c r="H52" s="59">
        <f>G52-(6*H42)</f>
        <v>2.3965710157062308</v>
      </c>
      <c r="I52" s="59">
        <f>H52-(6*I42)</f>
        <v>0.89456343153030859</v>
      </c>
      <c r="J52" s="59">
        <f>I52-(6*J42)</f>
        <v>0.89456343153030859</v>
      </c>
      <c r="K52" s="59">
        <f>J52-(6*K42)</f>
        <v>0.89456343153030859</v>
      </c>
      <c r="L52" s="59">
        <f>K52-(6*L42)</f>
        <v>1.4788795764819618E-4</v>
      </c>
      <c r="M52" s="59">
        <f t="shared" si="6"/>
        <v>1.4788795764819618E-4</v>
      </c>
    </row>
    <row r="53" spans="2:13">
      <c r="B53" t="s">
        <v>63</v>
      </c>
      <c r="C53" s="59">
        <f>C45+C46+C47+C50</f>
        <v>3.0014263198380728</v>
      </c>
      <c r="D53" s="59">
        <f>C53-(3*D42)+D51</f>
        <v>3.0014263198380728</v>
      </c>
      <c r="E53" s="59">
        <f t="shared" ref="E53:G53" si="11">D53-(3*E42)</f>
        <v>2.3971181031671822</v>
      </c>
      <c r="F53" s="59">
        <f t="shared" si="11"/>
        <v>2.3971181031671822</v>
      </c>
      <c r="G53" s="59">
        <f t="shared" si="11"/>
        <v>2.3971181031671822</v>
      </c>
      <c r="H53" s="59">
        <f>G53-(3*H42)</f>
        <v>1.1996378837123638</v>
      </c>
      <c r="I53" s="59">
        <f>H53-(3*I42)</f>
        <v>0.44863409162440271</v>
      </c>
      <c r="J53" s="59">
        <f>I53-(2*J42)</f>
        <v>0.44863409162440271</v>
      </c>
      <c r="K53" s="59">
        <f>J53-(1.5*K42)</f>
        <v>0.44863409162440271</v>
      </c>
      <c r="L53" s="59">
        <f>K53-(3*L42)</f>
        <v>1.4263198380725095E-3</v>
      </c>
      <c r="M53" s="59">
        <f t="shared" si="6"/>
        <v>1.4263198380725095E-3</v>
      </c>
    </row>
    <row r="54" spans="2:13">
      <c r="B54" t="s">
        <v>82</v>
      </c>
      <c r="C54" s="59">
        <f>G11-G35-G34</f>
        <v>6</v>
      </c>
      <c r="D54" s="59">
        <f t="shared" ref="D54:K54" si="12">C54-(6*D42)</f>
        <v>6</v>
      </c>
      <c r="E54" s="59">
        <f t="shared" si="12"/>
        <v>4.7913835666582187</v>
      </c>
      <c r="F54" s="59">
        <f t="shared" si="12"/>
        <v>4.7913835666582187</v>
      </c>
      <c r="G54" s="59">
        <f t="shared" si="12"/>
        <v>4.7913835666582187</v>
      </c>
      <c r="H54" s="59">
        <f>G54-(6*H42)</f>
        <v>2.3964231277485819</v>
      </c>
      <c r="I54" s="59">
        <f>H54-(6*I42)</f>
        <v>0.89441554357265973</v>
      </c>
      <c r="J54" s="59">
        <f>I54-(6*J42)</f>
        <v>0.89441554357265973</v>
      </c>
      <c r="K54" s="59">
        <f t="shared" si="12"/>
        <v>0.89441554357265973</v>
      </c>
      <c r="L54" s="59">
        <f>K54-(6*L42)</f>
        <v>0</v>
      </c>
      <c r="M54" s="59">
        <f t="shared" si="6"/>
        <v>0</v>
      </c>
    </row>
    <row r="55" spans="2:13">
      <c r="B55" t="s">
        <v>98</v>
      </c>
      <c r="C55" s="59">
        <f>C44+C48+C49</f>
        <v>1</v>
      </c>
      <c r="D55" s="59">
        <f t="shared" ref="D55:K55" si="13">C55-D42</f>
        <v>1</v>
      </c>
      <c r="E55" s="59">
        <f t="shared" si="13"/>
        <v>0.79856392777636986</v>
      </c>
      <c r="F55" s="59">
        <f t="shared" si="13"/>
        <v>0.79856392777636986</v>
      </c>
      <c r="G55" s="59">
        <f t="shared" si="13"/>
        <v>0.79856392777636986</v>
      </c>
      <c r="H55" s="59">
        <f>G55-H42</f>
        <v>0.39940385462476374</v>
      </c>
      <c r="I55" s="59">
        <f>H55-I42</f>
        <v>0.14906925726211007</v>
      </c>
      <c r="J55" s="59">
        <f>I55-J42</f>
        <v>0.14906925726211007</v>
      </c>
      <c r="K55" s="59">
        <f t="shared" si="13"/>
        <v>0.14906925726211007</v>
      </c>
      <c r="L55" s="59">
        <f>K55-L42</f>
        <v>0</v>
      </c>
      <c r="M55" s="59">
        <f t="shared" si="6"/>
        <v>0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58"/>
  <sheetViews>
    <sheetView workbookViewId="0">
      <selection sqref="A1:A2"/>
    </sheetView>
  </sheetViews>
  <sheetFormatPr baseColWidth="10" defaultColWidth="8.83203125" defaultRowHeight="14" x14ac:dyDescent="0"/>
  <sheetData>
    <row r="1" spans="1:11" ht="15">
      <c r="A1" s="113" t="s">
        <v>131</v>
      </c>
    </row>
    <row r="2" spans="1:11" ht="15">
      <c r="A2" s="114" t="s">
        <v>132</v>
      </c>
    </row>
    <row r="3" spans="1:11" ht="17">
      <c r="A3" s="1" t="s">
        <v>114</v>
      </c>
      <c r="B3" s="2"/>
      <c r="C3" s="2"/>
      <c r="D3" s="2"/>
      <c r="E3" s="2"/>
    </row>
    <row r="4" spans="1:11">
      <c r="A4" s="46" t="s">
        <v>33</v>
      </c>
      <c r="B4" s="46"/>
      <c r="C4" s="47"/>
      <c r="D4" s="47"/>
      <c r="E4" s="47"/>
      <c r="F4" s="48"/>
      <c r="G4" s="48"/>
    </row>
    <row r="5" spans="1:11" ht="18">
      <c r="A5" s="1" t="s">
        <v>34</v>
      </c>
      <c r="B5" s="49"/>
      <c r="C5" s="7" t="str">
        <f>Sheet1!C5</f>
        <v>Table 1: 40,25,0,0,0,20,0,15</v>
      </c>
      <c r="D5" s="8"/>
      <c r="E5" s="8"/>
      <c r="F5" s="8"/>
      <c r="G5" s="8"/>
      <c r="H5" s="8"/>
    </row>
    <row r="6" spans="1:11">
      <c r="A6" s="10" t="s">
        <v>1</v>
      </c>
      <c r="B6" s="103">
        <f>Sheet1!B6</f>
        <v>31</v>
      </c>
      <c r="C6" s="11" t="s">
        <v>2</v>
      </c>
      <c r="D6" s="104">
        <f>B6*2</f>
        <v>62</v>
      </c>
      <c r="E6" s="10" t="s">
        <v>3</v>
      </c>
      <c r="F6" s="10"/>
    </row>
    <row r="7" spans="1:11" ht="15" thickBot="1">
      <c r="A7" s="13"/>
      <c r="B7" s="13"/>
      <c r="C7" s="13"/>
      <c r="D7" s="13"/>
      <c r="E7" s="13"/>
      <c r="F7" s="13"/>
    </row>
    <row r="8" spans="1:11" ht="15">
      <c r="A8" s="14"/>
      <c r="B8" s="10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5" t="s">
        <v>9</v>
      </c>
      <c r="I8" s="76" t="s">
        <v>35</v>
      </c>
      <c r="J8" s="78"/>
      <c r="K8" s="81"/>
    </row>
    <row r="9" spans="1:11">
      <c r="A9" s="14" t="s">
        <v>11</v>
      </c>
      <c r="B9" s="19">
        <f>Sheet1!B9</f>
        <v>35.840000000000003</v>
      </c>
      <c r="C9" s="20">
        <v>60.09</v>
      </c>
      <c r="D9" s="21">
        <f>B9/C9</f>
        <v>0.59643867532035277</v>
      </c>
      <c r="E9" s="21">
        <f>2*D9</f>
        <v>1.1928773506407055</v>
      </c>
      <c r="F9" s="21">
        <f t="shared" ref="F9:F22" si="0">E9*$E$29</f>
        <v>12.000295775915298</v>
      </c>
      <c r="G9" s="22">
        <f>F9/2</f>
        <v>6.0001478879576489</v>
      </c>
      <c r="I9" s="90">
        <f>L$42/SUM($D$42:$M$42)</f>
        <v>0.44205142153875404</v>
      </c>
      <c r="J9" s="79" t="s">
        <v>64</v>
      </c>
      <c r="K9" s="82"/>
    </row>
    <row r="10" spans="1:11">
      <c r="A10" s="14" t="s">
        <v>12</v>
      </c>
      <c r="B10" s="19">
        <f>Sheet1!B10</f>
        <v>0</v>
      </c>
      <c r="C10" s="20">
        <v>79.900000000000006</v>
      </c>
      <c r="D10" s="21">
        <f t="shared" ref="D10:D22" si="1">B10/C10</f>
        <v>0</v>
      </c>
      <c r="E10" s="21">
        <f>2*D10</f>
        <v>0</v>
      </c>
      <c r="F10" s="21">
        <f t="shared" si="0"/>
        <v>0</v>
      </c>
      <c r="G10" s="22">
        <f>F10/2</f>
        <v>0</v>
      </c>
      <c r="I10" s="90">
        <f>K$42/SUM($D$42:$M$42)</f>
        <v>0.20744324897550573</v>
      </c>
      <c r="J10" s="79" t="s">
        <v>65</v>
      </c>
      <c r="K10" s="82"/>
    </row>
    <row r="11" spans="1:11">
      <c r="A11" s="14" t="s">
        <v>13</v>
      </c>
      <c r="B11" s="19">
        <f>Sheet1!B11</f>
        <v>33.700000000000003</v>
      </c>
      <c r="C11" s="20">
        <v>101.96</v>
      </c>
      <c r="D11" s="21">
        <f t="shared" si="1"/>
        <v>0.33052177324440962</v>
      </c>
      <c r="E11" s="21">
        <f>3*D11</f>
        <v>0.99156531973322881</v>
      </c>
      <c r="F11" s="21">
        <f t="shared" si="0"/>
        <v>9.9751052457720508</v>
      </c>
      <c r="G11" s="22">
        <f>F11*(2/3)</f>
        <v>6.6500701638480333</v>
      </c>
      <c r="I11" s="90">
        <f>J$42/SUM($D$42:$M$42)</f>
        <v>0</v>
      </c>
      <c r="J11" s="79" t="s">
        <v>128</v>
      </c>
      <c r="K11" s="82"/>
    </row>
    <row r="12" spans="1:11">
      <c r="A12" s="14" t="s">
        <v>14</v>
      </c>
      <c r="B12" s="19">
        <f>Sheet1!B12</f>
        <v>11.43</v>
      </c>
      <c r="C12" s="20">
        <v>71.849999999999994</v>
      </c>
      <c r="D12" s="21">
        <f t="shared" si="1"/>
        <v>0.15908141962421712</v>
      </c>
      <c r="E12" s="21">
        <f>D12</f>
        <v>0.15908141962421712</v>
      </c>
      <c r="F12" s="21">
        <f t="shared" si="0"/>
        <v>1.6003523639020787</v>
      </c>
      <c r="G12" s="22">
        <f>F12</f>
        <v>1.6003523639020787</v>
      </c>
      <c r="I12" s="90">
        <f>G$42/SUM($D$42:$M$42)</f>
        <v>0</v>
      </c>
      <c r="J12" s="79" t="s">
        <v>66</v>
      </c>
      <c r="K12" s="82"/>
    </row>
    <row r="13" spans="1:11">
      <c r="A13" s="14" t="s">
        <v>15</v>
      </c>
      <c r="B13" s="19">
        <f>Sheet1!B13</f>
        <v>0</v>
      </c>
      <c r="C13" s="20">
        <v>70.94</v>
      </c>
      <c r="D13" s="21">
        <f t="shared" si="1"/>
        <v>0</v>
      </c>
      <c r="E13" s="21">
        <f t="shared" ref="E13:E18" si="2">D13</f>
        <v>0</v>
      </c>
      <c r="F13" s="21">
        <f t="shared" si="0"/>
        <v>0</v>
      </c>
      <c r="G13" s="22">
        <f t="shared" ref="G13:G15" si="3">F13</f>
        <v>0</v>
      </c>
      <c r="I13" s="90">
        <f>H$42/SUM($D$42:$M$42)</f>
        <v>0</v>
      </c>
      <c r="J13" s="79" t="s">
        <v>67</v>
      </c>
      <c r="K13" s="82"/>
    </row>
    <row r="14" spans="1:11">
      <c r="A14" s="14" t="s">
        <v>16</v>
      </c>
      <c r="B14" s="19">
        <f>Sheet1!B14</f>
        <v>3.01</v>
      </c>
      <c r="C14" s="20">
        <v>40.32</v>
      </c>
      <c r="D14" s="21">
        <f t="shared" si="1"/>
        <v>7.4652777777777776E-2</v>
      </c>
      <c r="E14" s="21">
        <f t="shared" si="2"/>
        <v>7.4652777777777776E-2</v>
      </c>
      <c r="F14" s="21">
        <f t="shared" si="0"/>
        <v>0.75100379208796098</v>
      </c>
      <c r="G14" s="22">
        <f t="shared" si="3"/>
        <v>0.75100379208796098</v>
      </c>
      <c r="I14" s="90">
        <f>E$42/SUM($D$42:$M$42)</f>
        <v>0.13709904964290826</v>
      </c>
      <c r="J14" s="79" t="s">
        <v>68</v>
      </c>
      <c r="K14" s="82"/>
    </row>
    <row r="15" spans="1:11">
      <c r="A15" s="14" t="s">
        <v>18</v>
      </c>
      <c r="B15" s="19">
        <f>Sheet1!B15</f>
        <v>0</v>
      </c>
      <c r="C15" s="20">
        <v>56.08</v>
      </c>
      <c r="D15" s="21">
        <f t="shared" si="1"/>
        <v>0</v>
      </c>
      <c r="E15" s="21">
        <f t="shared" si="2"/>
        <v>0</v>
      </c>
      <c r="F15" s="21">
        <f t="shared" si="0"/>
        <v>0</v>
      </c>
      <c r="G15" s="22">
        <f t="shared" si="3"/>
        <v>0</v>
      </c>
      <c r="I15" s="90">
        <f>D$42/SUM($D$42:$M$42)</f>
        <v>6.4337022580721895E-2</v>
      </c>
      <c r="J15" s="79" t="s">
        <v>17</v>
      </c>
      <c r="K15" s="82"/>
    </row>
    <row r="16" spans="1:11">
      <c r="A16" s="14" t="s">
        <v>19</v>
      </c>
      <c r="B16" s="19">
        <f>Sheet1!B16</f>
        <v>0</v>
      </c>
      <c r="C16" s="20">
        <v>29.88</v>
      </c>
      <c r="D16" s="21">
        <f t="shared" si="1"/>
        <v>0</v>
      </c>
      <c r="E16" s="21">
        <f t="shared" si="2"/>
        <v>0</v>
      </c>
      <c r="F16" s="21">
        <f t="shared" si="0"/>
        <v>0</v>
      </c>
      <c r="G16" s="22">
        <f>2*F16</f>
        <v>0</v>
      </c>
      <c r="I16" s="90">
        <f>M$42/SUM($D$42:$M$42)</f>
        <v>0.14906925726211012</v>
      </c>
      <c r="J16" s="79" t="s">
        <v>50</v>
      </c>
      <c r="K16" s="82"/>
    </row>
    <row r="17" spans="1:14" ht="15" thickBot="1">
      <c r="A17" s="14" t="s">
        <v>20</v>
      </c>
      <c r="B17" s="19">
        <f>Sheet1!B17</f>
        <v>2.46</v>
      </c>
      <c r="C17" s="20">
        <v>61.98</v>
      </c>
      <c r="D17" s="21">
        <f t="shared" si="1"/>
        <v>3.9690222652468542E-2</v>
      </c>
      <c r="E17" s="21">
        <f t="shared" si="2"/>
        <v>3.9690222652468542E-2</v>
      </c>
      <c r="F17" s="21">
        <f t="shared" si="0"/>
        <v>0.39928196388818493</v>
      </c>
      <c r="G17" s="22">
        <f>2*F17</f>
        <v>0.79856392777636986</v>
      </c>
      <c r="I17" s="77">
        <f>SUM(I9:I16)</f>
        <v>1</v>
      </c>
      <c r="J17" s="80" t="s">
        <v>69</v>
      </c>
      <c r="K17" s="83"/>
    </row>
    <row r="18" spans="1:14">
      <c r="A18" s="14" t="s">
        <v>21</v>
      </c>
      <c r="B18" s="19">
        <f>Sheet1!B18</f>
        <v>0</v>
      </c>
      <c r="C18" s="20">
        <v>94.2</v>
      </c>
      <c r="D18" s="21">
        <f t="shared" si="1"/>
        <v>0</v>
      </c>
      <c r="E18" s="21">
        <f t="shared" si="2"/>
        <v>0</v>
      </c>
      <c r="F18" s="21">
        <f t="shared" si="0"/>
        <v>0</v>
      </c>
      <c r="G18" s="22">
        <f>2*F18</f>
        <v>0</v>
      </c>
      <c r="I18" s="101">
        <f>G38</f>
        <v>3.0014263198380728</v>
      </c>
      <c r="J18" t="s">
        <v>39</v>
      </c>
    </row>
    <row r="19" spans="1:14">
      <c r="A19" s="14" t="s">
        <v>22</v>
      </c>
      <c r="B19" s="19">
        <f>Sheet1!B19</f>
        <v>10.38</v>
      </c>
      <c r="C19" s="20">
        <v>69.64</v>
      </c>
      <c r="D19" s="21">
        <f t="shared" si="1"/>
        <v>0.14905226881102815</v>
      </c>
      <c r="E19" s="21">
        <f>3*D19</f>
        <v>0.44715680643308442</v>
      </c>
      <c r="F19" s="21">
        <f t="shared" si="0"/>
        <v>4.4983785906644815</v>
      </c>
      <c r="G19" s="22">
        <f>F19*(2/3)</f>
        <v>2.9989190604429874</v>
      </c>
      <c r="H19" s="60"/>
    </row>
    <row r="20" spans="1:14">
      <c r="A20" s="14" t="s">
        <v>24</v>
      </c>
      <c r="B20" s="19">
        <f>Sheet1!B20</f>
        <v>3.18</v>
      </c>
      <c r="C20" s="20">
        <v>18.016999999999999</v>
      </c>
      <c r="D20" s="21">
        <f t="shared" si="1"/>
        <v>0.17649997224843206</v>
      </c>
      <c r="E20" s="21">
        <f>D20</f>
        <v>0.17649997224843206</v>
      </c>
      <c r="F20" s="21">
        <f t="shared" si="0"/>
        <v>1.775582267769944</v>
      </c>
      <c r="G20" s="22">
        <f>2*F20</f>
        <v>3.551164535539888</v>
      </c>
      <c r="H20" s="60" t="s">
        <v>40</v>
      </c>
      <c r="I20" s="61">
        <f>G20+G21+G22</f>
        <v>3.551164535539888</v>
      </c>
    </row>
    <row r="21" spans="1:14">
      <c r="A21" s="14" t="s">
        <v>25</v>
      </c>
      <c r="B21" s="19">
        <f>Sheet1!B21</f>
        <v>0</v>
      </c>
      <c r="C21" s="20">
        <v>18.998000000000001</v>
      </c>
      <c r="D21" s="21">
        <f t="shared" si="1"/>
        <v>0</v>
      </c>
      <c r="E21" s="21">
        <f>D21</f>
        <v>0</v>
      </c>
      <c r="F21" s="21">
        <f t="shared" si="0"/>
        <v>0</v>
      </c>
      <c r="G21" s="22">
        <f>F21</f>
        <v>0</v>
      </c>
    </row>
    <row r="22" spans="1:14" ht="15">
      <c r="A22" s="14" t="s">
        <v>26</v>
      </c>
      <c r="B22" s="19">
        <f>Sheet1!B22</f>
        <v>0</v>
      </c>
      <c r="C22" s="20">
        <v>35.453000000000003</v>
      </c>
      <c r="D22" s="21">
        <f t="shared" si="1"/>
        <v>0</v>
      </c>
      <c r="E22" s="21">
        <f>D22</f>
        <v>0</v>
      </c>
      <c r="F22" s="21">
        <f t="shared" si="0"/>
        <v>0</v>
      </c>
      <c r="G22" s="22">
        <f>F22</f>
        <v>0</v>
      </c>
      <c r="I22" s="85"/>
      <c r="J22" s="86"/>
      <c r="K22" s="86"/>
      <c r="L22" s="86"/>
      <c r="M22" s="85"/>
      <c r="N22" s="84"/>
    </row>
    <row r="23" spans="1:14">
      <c r="A23" s="34" t="s">
        <v>27</v>
      </c>
      <c r="B23" s="35" t="s">
        <v>27</v>
      </c>
      <c r="C23" s="20"/>
      <c r="D23" s="14"/>
      <c r="E23" s="14"/>
      <c r="F23" s="14"/>
      <c r="G23" s="14"/>
      <c r="I23" s="88"/>
      <c r="J23" s="84"/>
      <c r="K23" s="84"/>
      <c r="L23" s="84"/>
      <c r="M23" s="88"/>
      <c r="N23" s="84"/>
    </row>
    <row r="24" spans="1:14">
      <c r="A24" s="14" t="s">
        <v>28</v>
      </c>
      <c r="B24" s="20"/>
      <c r="C24" s="20"/>
      <c r="D24" s="14"/>
      <c r="E24" s="21">
        <f>SUM(E9:E22)</f>
        <v>3.0815238691099145</v>
      </c>
      <c r="F24" s="14"/>
      <c r="G24" s="14"/>
      <c r="I24" s="87"/>
      <c r="J24" s="88"/>
      <c r="K24" s="84"/>
      <c r="L24" s="84"/>
      <c r="M24" s="87"/>
      <c r="N24" s="84"/>
    </row>
    <row r="25" spans="1:14">
      <c r="A25" s="14" t="s">
        <v>29</v>
      </c>
      <c r="B25" s="20">
        <f>-B21*(16/38)</f>
        <v>0</v>
      </c>
      <c r="C25" s="20"/>
      <c r="D25" s="14"/>
      <c r="E25" s="21">
        <f>-0.5*D21</f>
        <v>0</v>
      </c>
      <c r="F25" s="14"/>
      <c r="G25" s="14"/>
      <c r="I25" s="87"/>
      <c r="J25" s="88"/>
      <c r="K25" s="84"/>
      <c r="L25" s="84"/>
      <c r="M25" s="87"/>
      <c r="N25" s="84"/>
    </row>
    <row r="26" spans="1:14">
      <c r="A26" s="14" t="s">
        <v>30</v>
      </c>
      <c r="B26" s="36">
        <f>-B22*(16/70.9)</f>
        <v>0</v>
      </c>
      <c r="C26" s="20"/>
      <c r="D26" s="14"/>
      <c r="E26" s="21">
        <f>-0.5*D22</f>
        <v>0</v>
      </c>
      <c r="F26" s="14"/>
      <c r="G26" s="14"/>
      <c r="I26" s="87"/>
      <c r="J26" s="88"/>
      <c r="K26" s="84"/>
      <c r="L26" s="84"/>
      <c r="M26" s="87"/>
      <c r="N26" s="84"/>
    </row>
    <row r="27" spans="1:14">
      <c r="A27" s="10" t="s">
        <v>31</v>
      </c>
      <c r="B27" s="37">
        <f>SUM(B9:B26)</f>
        <v>100</v>
      </c>
      <c r="C27" s="37"/>
      <c r="D27" s="14"/>
      <c r="E27" s="38">
        <f>SUM(E24:E26)</f>
        <v>3.0815238691099145</v>
      </c>
      <c r="F27" s="14"/>
      <c r="G27" s="22">
        <f>SUM(G9:G14,G16,G19)</f>
        <v>18.00049326823871</v>
      </c>
      <c r="I27" s="87"/>
      <c r="J27" s="88"/>
      <c r="K27" s="84"/>
      <c r="L27" s="84"/>
      <c r="M27" s="87"/>
      <c r="N27" s="84"/>
    </row>
    <row r="28" spans="1:14" ht="17">
      <c r="B28" s="39"/>
      <c r="C28" s="39"/>
      <c r="G28" s="100" t="s">
        <v>112</v>
      </c>
      <c r="I28" s="87"/>
      <c r="J28" s="88"/>
      <c r="K28" s="84"/>
      <c r="L28" s="84"/>
      <c r="M28" s="87"/>
      <c r="N28" s="84"/>
    </row>
    <row r="29" spans="1:14">
      <c r="D29" s="43" t="s">
        <v>32</v>
      </c>
      <c r="E29" s="44">
        <f>$B$6/E27</f>
        <v>10.059957773085245</v>
      </c>
      <c r="G29" s="97">
        <f>Sheet1!G29</f>
        <v>0</v>
      </c>
      <c r="I29" s="87"/>
      <c r="J29" s="88"/>
      <c r="K29" s="84"/>
      <c r="L29" s="84"/>
      <c r="M29" s="87"/>
      <c r="N29" s="84"/>
    </row>
    <row r="30" spans="1:14">
      <c r="D30" s="43"/>
      <c r="E30" s="44"/>
      <c r="G30" s="40"/>
      <c r="I30" s="87"/>
      <c r="J30" s="88"/>
      <c r="K30" s="84"/>
      <c r="L30" s="84"/>
      <c r="M30" s="87"/>
      <c r="N30" s="84"/>
    </row>
    <row r="31" spans="1:14">
      <c r="D31" s="43"/>
      <c r="E31" s="44"/>
      <c r="G31" s="40"/>
      <c r="I31" s="87"/>
      <c r="J31" s="88"/>
      <c r="K31" s="84"/>
      <c r="L31" s="84"/>
      <c r="M31" s="87"/>
      <c r="N31" s="84"/>
    </row>
    <row r="32" spans="1:14" ht="17">
      <c r="D32" s="43"/>
      <c r="G32" s="62" t="s">
        <v>41</v>
      </c>
      <c r="I32" s="87"/>
      <c r="K32" s="62" t="s">
        <v>104</v>
      </c>
      <c r="L32" s="84"/>
      <c r="M32" s="87"/>
      <c r="N32" s="84"/>
    </row>
    <row r="33" spans="1:22">
      <c r="D33" s="43"/>
      <c r="F33" s="63" t="s">
        <v>42</v>
      </c>
      <c r="G33" s="64">
        <f>IF(AND(G9&lt;6,G19&gt;3),G19-3,0)</f>
        <v>0</v>
      </c>
      <c r="J33" s="63" t="s">
        <v>105</v>
      </c>
      <c r="K33" s="64">
        <f>IF(B49&gt;0,B49/($B$49+$B$44+$B$48),0)</f>
        <v>0.20143607222363014</v>
      </c>
    </row>
    <row r="34" spans="1:22">
      <c r="D34" s="43"/>
      <c r="F34" s="65" t="s">
        <v>43</v>
      </c>
      <c r="G34" s="22">
        <f>IF(G9+G33&lt;6,6-G33-G9,0)</f>
        <v>0</v>
      </c>
      <c r="J34" s="65" t="s">
        <v>58</v>
      </c>
      <c r="K34" s="64">
        <f>B44/($B$49+$B$44+$B$48)</f>
        <v>0</v>
      </c>
    </row>
    <row r="35" spans="1:22">
      <c r="D35" s="43"/>
      <c r="E35" s="60" t="s">
        <v>44</v>
      </c>
      <c r="F35" s="65" t="s">
        <v>45</v>
      </c>
      <c r="G35" s="22">
        <f>IF(G11&gt;6,G11-6-G34,0)</f>
        <v>0.65007016384803329</v>
      </c>
      <c r="J35" s="65" t="s">
        <v>59</v>
      </c>
      <c r="K35" s="64">
        <f>B48/($B$49+$B$44+$B$48)</f>
        <v>0.79856392777636986</v>
      </c>
    </row>
    <row r="36" spans="1:22">
      <c r="F36" s="65" t="s">
        <v>81</v>
      </c>
      <c r="G36" s="22">
        <f>IF(AND(G11-G34&lt;6,(G12+G10+G13+G14)&gt;3),6-(G11-G34),0)</f>
        <v>0</v>
      </c>
      <c r="J36" s="60" t="s">
        <v>106</v>
      </c>
      <c r="K36" s="59">
        <f>SUM(K33:K35)</f>
        <v>1</v>
      </c>
    </row>
    <row r="37" spans="1:22">
      <c r="E37" s="60"/>
      <c r="F37" s="65" t="s">
        <v>46</v>
      </c>
      <c r="G37" s="22">
        <f>IF(G15+G17+G18&lt;1,1-(G15+G17+G18),0)</f>
        <v>0.20143607222363014</v>
      </c>
    </row>
    <row r="38" spans="1:22">
      <c r="F38" s="65" t="s">
        <v>39</v>
      </c>
      <c r="G38" s="22">
        <f>G35+SUM(G10,G12:G14)-G36</f>
        <v>3.0014263198380728</v>
      </c>
    </row>
    <row r="39" spans="1:22">
      <c r="F39" s="69"/>
      <c r="G39" s="70"/>
    </row>
    <row r="40" spans="1:22" ht="20">
      <c r="D40" s="71" t="s">
        <v>105</v>
      </c>
      <c r="E40" s="89"/>
      <c r="F40" s="69"/>
      <c r="G40" s="99" t="s">
        <v>107</v>
      </c>
      <c r="J40" s="98" t="s">
        <v>108</v>
      </c>
      <c r="O40" s="105" t="s">
        <v>92</v>
      </c>
      <c r="S40" s="89"/>
    </row>
    <row r="41" spans="1:22">
      <c r="D41" s="60" t="s">
        <v>83</v>
      </c>
      <c r="E41" s="72" t="s">
        <v>85</v>
      </c>
      <c r="F41" s="72"/>
      <c r="G41" s="72" t="s">
        <v>86</v>
      </c>
      <c r="H41" s="60" t="s">
        <v>84</v>
      </c>
      <c r="J41" s="72" t="s">
        <v>122</v>
      </c>
      <c r="K41" s="72" t="s">
        <v>87</v>
      </c>
      <c r="L41" s="60" t="s">
        <v>88</v>
      </c>
      <c r="M41" s="72" t="s">
        <v>117</v>
      </c>
      <c r="N41" s="60"/>
      <c r="O41" s="60"/>
      <c r="Q41" s="72"/>
      <c r="R41" s="60"/>
      <c r="S41" s="75"/>
      <c r="T41" s="60"/>
      <c r="U41" s="72"/>
      <c r="V41" s="84"/>
    </row>
    <row r="42" spans="1:22">
      <c r="D42" s="74">
        <f>IF(K33&gt;0,K33*B45/(B45+B46),0)</f>
        <v>6.4337022580721895E-2</v>
      </c>
      <c r="E42" s="74">
        <f>IF(K33&gt;0,K33*B46/(B45+B46),0)</f>
        <v>0.13709904964290826</v>
      </c>
      <c r="F42" s="75"/>
      <c r="G42" s="74">
        <f>IF(K34&gt;0,K34*E45/(E45+E46),0)</f>
        <v>0</v>
      </c>
      <c r="H42" s="74">
        <f>IF(K34&gt;0,K34*E46/(E45+E46),0)</f>
        <v>0</v>
      </c>
      <c r="J42" s="59">
        <f>H47/3</f>
        <v>0</v>
      </c>
      <c r="K42" s="74">
        <f>IF(AND(J45&gt;=0,J48&gt;=J45/3),J45/3,J48)</f>
        <v>0.20744324897550573</v>
      </c>
      <c r="L42" s="74">
        <f>IF(AND(K48&gt;=0,K48&lt;=K46/3),K48,K46/3)</f>
        <v>0.44205142153875404</v>
      </c>
      <c r="M42" s="74">
        <f>IF(OR(L50&lt;=0,L48&lt;=0),0,L48)</f>
        <v>0.14906925726211012</v>
      </c>
      <c r="N42" s="74"/>
      <c r="O42" s="59"/>
      <c r="Q42" s="74"/>
      <c r="R42" s="74"/>
      <c r="S42" s="74"/>
      <c r="T42" s="75"/>
      <c r="U42" s="75"/>
      <c r="V42" s="84"/>
    </row>
    <row r="43" spans="1:22">
      <c r="B43" t="s">
        <v>52</v>
      </c>
      <c r="D43" s="73" t="s">
        <v>89</v>
      </c>
      <c r="E43" s="73" t="s">
        <v>103</v>
      </c>
      <c r="F43" s="73"/>
      <c r="G43" s="73" t="s">
        <v>90</v>
      </c>
      <c r="H43" s="73" t="s">
        <v>91</v>
      </c>
      <c r="J43" s="68" t="s">
        <v>124</v>
      </c>
      <c r="K43" s="73" t="s">
        <v>93</v>
      </c>
      <c r="L43" s="73" t="s">
        <v>94</v>
      </c>
      <c r="M43" s="73" t="s">
        <v>118</v>
      </c>
      <c r="N43" s="73"/>
      <c r="S43" s="73"/>
      <c r="T43" s="73"/>
      <c r="U43" s="73"/>
      <c r="V43" s="84"/>
    </row>
    <row r="44" spans="1:22">
      <c r="A44" t="s">
        <v>58</v>
      </c>
      <c r="B44" s="59">
        <f>G15</f>
        <v>0</v>
      </c>
      <c r="D44" s="59">
        <f>B44</f>
        <v>0</v>
      </c>
      <c r="E44" s="59">
        <f>D44</f>
        <v>0</v>
      </c>
      <c r="F44" s="59"/>
      <c r="G44" s="59">
        <f>E44-G42</f>
        <v>0</v>
      </c>
      <c r="H44" s="59">
        <f>G44-H42</f>
        <v>0</v>
      </c>
      <c r="J44" s="59">
        <f>H44</f>
        <v>0</v>
      </c>
      <c r="K44" s="59">
        <f>J44</f>
        <v>0</v>
      </c>
      <c r="L44" s="59">
        <f>K44</f>
        <v>0</v>
      </c>
      <c r="M44" s="59">
        <f>L44</f>
        <v>0</v>
      </c>
      <c r="N44" s="59"/>
      <c r="O44" s="59">
        <f>M44</f>
        <v>0</v>
      </c>
      <c r="Q44" s="59"/>
      <c r="R44" s="59"/>
      <c r="S44" s="59"/>
      <c r="T44" s="59"/>
      <c r="U44" s="59"/>
      <c r="V44" s="84"/>
    </row>
    <row r="45" spans="1:22">
      <c r="A45" t="s">
        <v>80</v>
      </c>
      <c r="B45" s="59">
        <f>G14-G36</f>
        <v>0.75100379208796098</v>
      </c>
      <c r="D45" s="59">
        <f>B45-(2*D42)</f>
        <v>0.62232974692651721</v>
      </c>
      <c r="E45" s="59">
        <f>D45</f>
        <v>0.62232974692651721</v>
      </c>
      <c r="F45" s="59"/>
      <c r="G45" s="59">
        <f>E45-(3*G42)</f>
        <v>0.62232974692651721</v>
      </c>
      <c r="H45" s="59">
        <f>G45</f>
        <v>0.62232974692651721</v>
      </c>
      <c r="J45" s="59">
        <f>H45</f>
        <v>0.62232974692651721</v>
      </c>
      <c r="K45" s="59">
        <f>J45-(3*K42)</f>
        <v>0</v>
      </c>
      <c r="L45" s="59">
        <f>K45</f>
        <v>0</v>
      </c>
      <c r="M45" s="59">
        <f>L45</f>
        <v>0</v>
      </c>
      <c r="N45" s="59"/>
      <c r="O45" s="59">
        <f t="shared" ref="O45:O54" si="4">M45</f>
        <v>0</v>
      </c>
      <c r="Q45" s="59"/>
      <c r="R45" s="59"/>
      <c r="S45" s="59"/>
      <c r="T45" s="59"/>
      <c r="U45" s="59"/>
      <c r="V45" s="84"/>
    </row>
    <row r="46" spans="1:22">
      <c r="A46" t="s">
        <v>126</v>
      </c>
      <c r="B46" s="59">
        <f>G12+G10</f>
        <v>1.6003523639020787</v>
      </c>
      <c r="D46" s="59">
        <f>B46</f>
        <v>1.6003523639020787</v>
      </c>
      <c r="E46" s="59">
        <f>D46-(2*E42)</f>
        <v>1.3261542646162621</v>
      </c>
      <c r="F46" s="59"/>
      <c r="G46" s="59">
        <f>E46</f>
        <v>1.3261542646162621</v>
      </c>
      <c r="H46" s="59">
        <f>G46-3*H42</f>
        <v>1.3261542646162621</v>
      </c>
      <c r="J46" s="59">
        <f>H46</f>
        <v>1.3261542646162621</v>
      </c>
      <c r="K46" s="59">
        <f>J46</f>
        <v>1.3261542646162621</v>
      </c>
      <c r="L46" s="59">
        <f>K46-(3*L42)</f>
        <v>0</v>
      </c>
      <c r="M46" s="59">
        <f>L46</f>
        <v>0</v>
      </c>
      <c r="N46" s="59"/>
      <c r="O46" s="59">
        <f t="shared" si="4"/>
        <v>0</v>
      </c>
      <c r="Q46" s="59"/>
      <c r="R46" s="59"/>
      <c r="S46" s="59"/>
      <c r="T46" s="59"/>
      <c r="U46" s="59"/>
      <c r="V46" s="84"/>
    </row>
    <row r="47" spans="1:22">
      <c r="A47" t="s">
        <v>121</v>
      </c>
      <c r="B47" s="59">
        <f>G13</f>
        <v>0</v>
      </c>
      <c r="D47" s="59">
        <f>B47</f>
        <v>0</v>
      </c>
      <c r="E47" s="59">
        <f>D47</f>
        <v>0</v>
      </c>
      <c r="F47" s="59"/>
      <c r="G47" s="59">
        <f>E47</f>
        <v>0</v>
      </c>
      <c r="H47" s="59">
        <f>G47</f>
        <v>0</v>
      </c>
      <c r="J47" s="59">
        <f>H47-3*J42</f>
        <v>0</v>
      </c>
      <c r="K47" s="59">
        <f>J47</f>
        <v>0</v>
      </c>
      <c r="L47" s="59">
        <f>K47</f>
        <v>0</v>
      </c>
      <c r="M47" s="59">
        <f>L47</f>
        <v>0</v>
      </c>
      <c r="N47" s="59"/>
      <c r="O47" s="59">
        <f t="shared" si="4"/>
        <v>0</v>
      </c>
      <c r="Q47" s="59"/>
      <c r="R47" s="59"/>
      <c r="S47" s="59"/>
      <c r="T47" s="59"/>
      <c r="U47" s="59"/>
      <c r="V47" s="84"/>
    </row>
    <row r="48" spans="1:22">
      <c r="A48" t="s">
        <v>59</v>
      </c>
      <c r="B48" s="59">
        <f>G17+G18</f>
        <v>0.79856392777636986</v>
      </c>
      <c r="D48" s="59">
        <f>B48</f>
        <v>0.79856392777636986</v>
      </c>
      <c r="E48" s="59">
        <f>D48</f>
        <v>0.79856392777636986</v>
      </c>
      <c r="F48" s="59"/>
      <c r="G48" s="59">
        <f>E48</f>
        <v>0.79856392777636986</v>
      </c>
      <c r="H48" s="59">
        <f>G48</f>
        <v>0.79856392777636986</v>
      </c>
      <c r="J48" s="59">
        <f>H48-J42</f>
        <v>0.79856392777636986</v>
      </c>
      <c r="K48" s="59">
        <f>J48-K42</f>
        <v>0.59112067880086416</v>
      </c>
      <c r="L48" s="59">
        <f>K48-L42</f>
        <v>0.14906925726211012</v>
      </c>
      <c r="M48" s="59">
        <f>L48-M42</f>
        <v>0</v>
      </c>
      <c r="N48" s="59"/>
      <c r="O48" s="59">
        <f t="shared" si="4"/>
        <v>0</v>
      </c>
      <c r="Q48" s="59"/>
      <c r="R48" s="59"/>
      <c r="S48" s="59"/>
      <c r="T48" s="59"/>
      <c r="U48" s="59"/>
      <c r="V48" s="84"/>
    </row>
    <row r="49" spans="1:22">
      <c r="A49" t="s">
        <v>60</v>
      </c>
      <c r="B49" s="59">
        <f>G37</f>
        <v>0.20143607222363014</v>
      </c>
      <c r="D49" s="59">
        <f>B49-D42</f>
        <v>0.13709904964290826</v>
      </c>
      <c r="E49" s="59">
        <f>D49-E42</f>
        <v>0</v>
      </c>
      <c r="F49" s="59"/>
      <c r="G49" s="59">
        <f>E49</f>
        <v>0</v>
      </c>
      <c r="H49" s="59">
        <f>G49</f>
        <v>0</v>
      </c>
      <c r="J49" s="59">
        <f>H49</f>
        <v>0</v>
      </c>
      <c r="K49" s="59">
        <f>J49</f>
        <v>0</v>
      </c>
      <c r="L49" s="59">
        <f>K49</f>
        <v>0</v>
      </c>
      <c r="M49" s="59">
        <f>L49</f>
        <v>0</v>
      </c>
      <c r="N49" s="59"/>
      <c r="O49" s="59">
        <f t="shared" si="4"/>
        <v>0</v>
      </c>
      <c r="Q49" s="59"/>
      <c r="R49" s="59"/>
      <c r="S49" s="59"/>
      <c r="T49" s="59"/>
      <c r="U49" s="59"/>
      <c r="V49" s="84"/>
    </row>
    <row r="50" spans="1:22">
      <c r="A50" t="s">
        <v>45</v>
      </c>
      <c r="B50" s="59">
        <f>G35</f>
        <v>0.65007016384803329</v>
      </c>
      <c r="D50" s="59">
        <f>B50-D42</f>
        <v>0.58573314126731135</v>
      </c>
      <c r="E50" s="59">
        <f>D50-E42</f>
        <v>0.4486340916244031</v>
      </c>
      <c r="F50" s="59"/>
      <c r="G50" s="59">
        <f>E50</f>
        <v>0.4486340916244031</v>
      </c>
      <c r="H50" s="59">
        <f>G50</f>
        <v>0.4486340916244031</v>
      </c>
      <c r="J50" s="59">
        <f>H50</f>
        <v>0.4486340916244031</v>
      </c>
      <c r="K50" s="59">
        <f>J50</f>
        <v>0.4486340916244031</v>
      </c>
      <c r="L50" s="59">
        <f>K50</f>
        <v>0.4486340916244031</v>
      </c>
      <c r="M50" s="59">
        <f>L50-(3*M42)</f>
        <v>1.4263198380727315E-3</v>
      </c>
      <c r="N50" s="59"/>
      <c r="O50" s="59">
        <f t="shared" si="4"/>
        <v>1.4263198380727315E-3</v>
      </c>
      <c r="Q50" s="59"/>
      <c r="R50" s="59"/>
      <c r="S50" s="59"/>
      <c r="T50" s="59"/>
      <c r="U50" s="59"/>
      <c r="V50" s="84"/>
    </row>
    <row r="51" spans="1:22">
      <c r="A51" t="s">
        <v>95</v>
      </c>
      <c r="B51" s="59">
        <f>G9+G34+G33</f>
        <v>6.0001478879576489</v>
      </c>
      <c r="D51" s="59">
        <f>B51-(6*D42)</f>
        <v>5.614125752473317</v>
      </c>
      <c r="E51" s="59">
        <f>D51-(6*E42)</f>
        <v>4.7915314546158676</v>
      </c>
      <c r="F51" s="59"/>
      <c r="G51" s="59">
        <f>E51-(6*G42)</f>
        <v>4.7915314546158676</v>
      </c>
      <c r="H51" s="59">
        <f t="shared" ref="H51" si="5">G51-(6*H42)</f>
        <v>4.7915314546158676</v>
      </c>
      <c r="J51" s="59">
        <f>H51-(6*J42)</f>
        <v>4.7915314546158676</v>
      </c>
      <c r="K51" s="59">
        <f>J51-(6*K42)</f>
        <v>3.5468719607628332</v>
      </c>
      <c r="L51" s="59">
        <f>K51-(6*L42)</f>
        <v>0.89456343153030904</v>
      </c>
      <c r="M51" s="59">
        <f>L51-(6*M42)</f>
        <v>1.478879576483072E-4</v>
      </c>
      <c r="N51" s="59"/>
      <c r="O51" s="59">
        <f t="shared" si="4"/>
        <v>1.478879576483072E-4</v>
      </c>
      <c r="Q51" s="59"/>
      <c r="R51" s="59"/>
      <c r="S51" s="59"/>
      <c r="T51" s="59"/>
      <c r="U51" s="59"/>
      <c r="V51" s="84"/>
    </row>
    <row r="52" spans="1:22">
      <c r="A52" t="s">
        <v>63</v>
      </c>
      <c r="B52" s="59">
        <f>B45+B46+B50+B47</f>
        <v>3.0014263198380728</v>
      </c>
      <c r="D52" s="59">
        <f>B52-(3*D42)</f>
        <v>2.8084152520959069</v>
      </c>
      <c r="E52" s="59">
        <f>D52-(3*E42)</f>
        <v>2.3971181031671822</v>
      </c>
      <c r="F52" s="59"/>
      <c r="G52" s="59">
        <f>E52-(3*G42)</f>
        <v>2.3971181031671822</v>
      </c>
      <c r="H52" s="59">
        <f t="shared" ref="H52" si="6">G52-(3*H42)</f>
        <v>2.3971181031671822</v>
      </c>
      <c r="J52" s="59">
        <f>H52-(3*J42)</f>
        <v>2.3971181031671822</v>
      </c>
      <c r="K52" s="59">
        <f>J52-(3*K42)</f>
        <v>1.774788356240665</v>
      </c>
      <c r="L52" s="59">
        <f>K52-(3*L42)</f>
        <v>0.44863409162440293</v>
      </c>
      <c r="M52" s="59">
        <f>L52-(3*M42)</f>
        <v>1.426319838072565E-3</v>
      </c>
      <c r="N52" s="59"/>
      <c r="O52" s="59">
        <f t="shared" si="4"/>
        <v>1.426319838072565E-3</v>
      </c>
      <c r="Q52" s="59"/>
      <c r="R52" s="59"/>
      <c r="S52" s="59"/>
      <c r="T52" s="59"/>
      <c r="U52" s="59"/>
    </row>
    <row r="53" spans="1:22">
      <c r="A53" t="s">
        <v>82</v>
      </c>
      <c r="B53" s="59">
        <f>G11-G35-G34+G36</f>
        <v>6</v>
      </c>
      <c r="D53" s="59">
        <f>B53-(6*D42)</f>
        <v>5.6139778645156682</v>
      </c>
      <c r="E53" s="59">
        <f>D53-(6*E42)</f>
        <v>4.7913835666582187</v>
      </c>
      <c r="F53" s="59"/>
      <c r="G53" s="59">
        <f>E53-(6*G42)</f>
        <v>4.7913835666582187</v>
      </c>
      <c r="H53" s="59">
        <f t="shared" ref="H53" si="7">G53-(6*H42)</f>
        <v>4.7913835666582187</v>
      </c>
      <c r="J53" s="59">
        <f>H53-(6*J42)</f>
        <v>4.7913835666582187</v>
      </c>
      <c r="K53" s="59">
        <f>J53-(6*K42)</f>
        <v>3.5467240728051843</v>
      </c>
      <c r="L53" s="59">
        <f>K53-(6*L42)</f>
        <v>0.89441554357266018</v>
      </c>
      <c r="M53" s="59">
        <f>L53-(6*M42)</f>
        <v>0</v>
      </c>
      <c r="N53" s="59"/>
      <c r="O53" s="59">
        <f t="shared" si="4"/>
        <v>0</v>
      </c>
      <c r="Q53" s="59"/>
      <c r="R53" s="59"/>
      <c r="S53" s="59"/>
      <c r="T53" s="59"/>
      <c r="U53" s="59"/>
    </row>
    <row r="54" spans="1:22">
      <c r="A54" t="s">
        <v>98</v>
      </c>
      <c r="B54" s="59">
        <f>B44+B48+B49</f>
        <v>1</v>
      </c>
      <c r="D54" s="59">
        <f>B54-D42</f>
        <v>0.93566297741927806</v>
      </c>
      <c r="E54" s="59">
        <f>D54-E42</f>
        <v>0.79856392777636986</v>
      </c>
      <c r="F54" s="59"/>
      <c r="G54" s="59">
        <f>E54-G42</f>
        <v>0.79856392777636986</v>
      </c>
      <c r="H54" s="59">
        <f t="shared" ref="H54" si="8">G54-H42</f>
        <v>0.79856392777636986</v>
      </c>
      <c r="J54" s="59">
        <f>H54-(J42)</f>
        <v>0.79856392777636986</v>
      </c>
      <c r="K54" s="59">
        <f>J54-K42</f>
        <v>0.59112067880086416</v>
      </c>
      <c r="L54" s="59">
        <f>K54-L42</f>
        <v>0.14906925726211012</v>
      </c>
      <c r="M54" s="59">
        <f>L54-M42</f>
        <v>0</v>
      </c>
      <c r="N54" s="59"/>
      <c r="O54" s="59">
        <f t="shared" si="4"/>
        <v>0</v>
      </c>
      <c r="Q54" s="59"/>
      <c r="R54" s="59"/>
      <c r="S54" s="59"/>
      <c r="T54" s="59"/>
      <c r="U54" s="59"/>
    </row>
    <row r="55" spans="1:22">
      <c r="D55" s="59"/>
      <c r="J55" s="59"/>
      <c r="L55" s="59"/>
      <c r="P55" s="59"/>
    </row>
    <row r="56" spans="1:22">
      <c r="D56" s="59"/>
      <c r="J56" s="74"/>
      <c r="L56" s="74"/>
      <c r="P56" s="74"/>
    </row>
    <row r="58" spans="1:22">
      <c r="J58">
        <f>IF(OR(H48&lt;=0,H50&lt;=0),0,1)</f>
        <v>1</v>
      </c>
    </row>
  </sheetData>
  <pageMargins left="0.7" right="0.7" top="0.75" bottom="0.75" header="0.3" footer="0.3"/>
  <pageSetup scale="44" orientation="landscape" verticalDpi="1200"/>
  <ignoredErrors>
    <ignoredError sqref="H46 E46 D45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Li Sheet</vt:lpstr>
      <vt:lpstr>Li-Free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morg3142</dc:creator>
  <cp:lastModifiedBy>Editorial Assistant</cp:lastModifiedBy>
  <cp:lastPrinted>2015-01-26T19:44:48Z</cp:lastPrinted>
  <dcterms:created xsi:type="dcterms:W3CDTF">2014-11-25T16:47:13Z</dcterms:created>
  <dcterms:modified xsi:type="dcterms:W3CDTF">2015-08-14T20:24:36Z</dcterms:modified>
</cp:coreProperties>
</file>