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09"/>
  <workbookPr/>
  <mc:AlternateContent xmlns:mc="http://schemas.openxmlformats.org/markup-compatibility/2006">
    <mc:Choice Requires="x15">
      <x15ac:absPath xmlns:x15ac="http://schemas.microsoft.com/office/spreadsheetml/2010/11/ac" url="D:\TempUserProfiles\NetworkService\AppData\OICE_16_974FA576_32C1D314_A3\"/>
    </mc:Choice>
  </mc:AlternateContent>
  <xr:revisionPtr revIDLastSave="12" documentId="8_{11D95DFF-B95B-4522-BCA5-82A81B773CE6}" xr6:coauthVersionLast="45" xr6:coauthVersionMax="45" xr10:uidLastSave="{26D9DCFB-CFF1-4232-8C63-E7D1CB60AA20}"/>
  <bookViews>
    <workbookView xWindow="-120" yWindow="-120" windowWidth="15600" windowHeight="11760" tabRatio="671" firstSheet="2" activeTab="3" xr2:uid="{00000000-000D-0000-FFFF-FFFF00000000}"/>
  </bookViews>
  <sheets>
    <sheet name="Z1 data" sheetId="3" r:id="rId1"/>
    <sheet name="Z10 data" sheetId="8" r:id="rId2"/>
    <sheet name="Experimental Data" sheetId="1" r:id="rId3"/>
    <sheet name="Figures" sheetId="2" r:id="rId4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8" i="8" l="1"/>
  <c r="N11" i="8"/>
  <c r="N10" i="8"/>
  <c r="N9" i="8"/>
  <c r="P8" i="8" s="1"/>
  <c r="N11" i="3"/>
  <c r="N10" i="3"/>
  <c r="N9" i="3"/>
  <c r="N8" i="3"/>
  <c r="N7" i="3"/>
  <c r="N6" i="3"/>
  <c r="AP133" i="1"/>
  <c r="AO133" i="1"/>
  <c r="AN133" i="1"/>
  <c r="AM133" i="1"/>
  <c r="AL133" i="1"/>
  <c r="AK133" i="1"/>
  <c r="AJ133" i="1"/>
  <c r="AI133" i="1"/>
  <c r="AH133" i="1"/>
  <c r="AG133" i="1"/>
  <c r="AR133" i="1"/>
  <c r="AS133" i="1"/>
  <c r="AT133" i="1"/>
  <c r="AU133" i="1"/>
  <c r="AV133" i="1"/>
  <c r="J133" i="1"/>
  <c r="L133" i="1"/>
  <c r="F133" i="1"/>
  <c r="B133" i="1"/>
  <c r="D133" i="1"/>
  <c r="AP132" i="1"/>
  <c r="AO132" i="1"/>
  <c r="AN132" i="1"/>
  <c r="AM132" i="1"/>
  <c r="AL132" i="1"/>
  <c r="AK132" i="1"/>
  <c r="AJ132" i="1"/>
  <c r="AI132" i="1"/>
  <c r="AH132" i="1"/>
  <c r="AG132" i="1"/>
  <c r="AR132" i="1" s="1"/>
  <c r="AS132" i="1" s="1"/>
  <c r="AT132" i="1" s="1"/>
  <c r="AU132" i="1" s="1"/>
  <c r="AV132" i="1" s="1"/>
  <c r="J132" i="1"/>
  <c r="L132" i="1" s="1"/>
  <c r="F132" i="1"/>
  <c r="B132" i="1"/>
  <c r="D132" i="1"/>
  <c r="AP131" i="1"/>
  <c r="AO131" i="1"/>
  <c r="AN131" i="1"/>
  <c r="AM131" i="1"/>
  <c r="AL131" i="1"/>
  <c r="AK131" i="1"/>
  <c r="AJ131" i="1"/>
  <c r="AI131" i="1"/>
  <c r="AH131" i="1"/>
  <c r="AG131" i="1"/>
  <c r="AR131" i="1"/>
  <c r="AS131" i="1"/>
  <c r="AT131" i="1"/>
  <c r="AU131" i="1"/>
  <c r="AV131" i="1"/>
  <c r="J131" i="1"/>
  <c r="L131" i="1"/>
  <c r="F131" i="1"/>
  <c r="B131" i="1"/>
  <c r="D131" i="1" s="1"/>
  <c r="AP130" i="1"/>
  <c r="AO130" i="1"/>
  <c r="AN130" i="1"/>
  <c r="AM130" i="1"/>
  <c r="AL130" i="1"/>
  <c r="AK130" i="1"/>
  <c r="AJ130" i="1"/>
  <c r="AI130" i="1"/>
  <c r="AH130" i="1"/>
  <c r="AG130" i="1"/>
  <c r="AR130" i="1"/>
  <c r="AS130" i="1"/>
  <c r="AT130" i="1"/>
  <c r="AU130" i="1"/>
  <c r="AV130" i="1"/>
  <c r="J130" i="1"/>
  <c r="L130" i="1"/>
  <c r="F130" i="1"/>
  <c r="B130" i="1"/>
  <c r="D130" i="1"/>
  <c r="AP129" i="1"/>
  <c r="AO129" i="1"/>
  <c r="AN129" i="1"/>
  <c r="AM129" i="1"/>
  <c r="AL129" i="1"/>
  <c r="AK129" i="1"/>
  <c r="AJ129" i="1"/>
  <c r="AI129" i="1"/>
  <c r="AH129" i="1"/>
  <c r="AG129" i="1"/>
  <c r="AR129" i="1" s="1"/>
  <c r="AS129" i="1" s="1"/>
  <c r="AT129" i="1" s="1"/>
  <c r="AU129" i="1" s="1"/>
  <c r="AV129" i="1" s="1"/>
  <c r="J129" i="1"/>
  <c r="L129" i="1"/>
  <c r="F129" i="1"/>
  <c r="B129" i="1"/>
  <c r="D129" i="1"/>
  <c r="AP128" i="1"/>
  <c r="AO128" i="1"/>
  <c r="AN128" i="1"/>
  <c r="AM128" i="1"/>
  <c r="AL128" i="1"/>
  <c r="AK128" i="1"/>
  <c r="AJ128" i="1"/>
  <c r="AI128" i="1"/>
  <c r="AH128" i="1"/>
  <c r="AG128" i="1"/>
  <c r="AR128" i="1"/>
  <c r="AS128" i="1"/>
  <c r="AT128" i="1"/>
  <c r="AU128" i="1"/>
  <c r="AV128" i="1"/>
  <c r="J128" i="1"/>
  <c r="L128" i="1" s="1"/>
  <c r="F128" i="1"/>
  <c r="B128" i="1"/>
  <c r="D128" i="1"/>
  <c r="AP127" i="1"/>
  <c r="AO127" i="1"/>
  <c r="AN127" i="1"/>
  <c r="AM127" i="1"/>
  <c r="AL127" i="1"/>
  <c r="AK127" i="1"/>
  <c r="AJ127" i="1"/>
  <c r="AI127" i="1"/>
  <c r="AH127" i="1"/>
  <c r="AG127" i="1"/>
  <c r="AR127" i="1"/>
  <c r="AS127" i="1"/>
  <c r="AT127" i="1"/>
  <c r="AU127" i="1"/>
  <c r="AV127" i="1"/>
  <c r="J127" i="1"/>
  <c r="L127" i="1"/>
  <c r="F127" i="1"/>
  <c r="B127" i="1"/>
  <c r="D127" i="1" s="1"/>
  <c r="AP126" i="1"/>
  <c r="AO126" i="1"/>
  <c r="AN126" i="1"/>
  <c r="AM126" i="1"/>
  <c r="AL126" i="1"/>
  <c r="AK126" i="1"/>
  <c r="AJ126" i="1"/>
  <c r="AI126" i="1"/>
  <c r="AH126" i="1"/>
  <c r="AG126" i="1"/>
  <c r="AR126" i="1" s="1"/>
  <c r="AS126" i="1" s="1"/>
  <c r="AT126" i="1" s="1"/>
  <c r="AU126" i="1" s="1"/>
  <c r="AV126" i="1" s="1"/>
  <c r="J126" i="1"/>
  <c r="L126" i="1"/>
  <c r="F126" i="1"/>
  <c r="B126" i="1"/>
  <c r="D126" i="1"/>
  <c r="AP125" i="1"/>
  <c r="AO125" i="1"/>
  <c r="AN125" i="1"/>
  <c r="AM125" i="1"/>
  <c r="AL125" i="1"/>
  <c r="AK125" i="1"/>
  <c r="AJ125" i="1"/>
  <c r="AI125" i="1"/>
  <c r="AH125" i="1"/>
  <c r="AG125" i="1"/>
  <c r="AR125" i="1"/>
  <c r="AS125" i="1"/>
  <c r="AT125" i="1"/>
  <c r="AU125" i="1"/>
  <c r="AV125" i="1"/>
  <c r="F125" i="1"/>
  <c r="B125" i="1"/>
  <c r="D125" i="1" s="1"/>
  <c r="AP124" i="1"/>
  <c r="AO124" i="1"/>
  <c r="AN124" i="1"/>
  <c r="AM124" i="1"/>
  <c r="AL124" i="1"/>
  <c r="AK124" i="1"/>
  <c r="AJ124" i="1"/>
  <c r="AI124" i="1"/>
  <c r="AH124" i="1"/>
  <c r="AG124" i="1"/>
  <c r="AR124" i="1" s="1"/>
  <c r="AS124" i="1" s="1"/>
  <c r="AT124" i="1" s="1"/>
  <c r="AU124" i="1" s="1"/>
  <c r="AV124" i="1" s="1"/>
  <c r="J124" i="1"/>
  <c r="L124" i="1"/>
  <c r="F124" i="1"/>
  <c r="B124" i="1"/>
  <c r="D124" i="1"/>
  <c r="AP123" i="1"/>
  <c r="AO123" i="1"/>
  <c r="AN123" i="1"/>
  <c r="AM123" i="1"/>
  <c r="AL123" i="1"/>
  <c r="AK123" i="1"/>
  <c r="AJ123" i="1"/>
  <c r="AI123" i="1"/>
  <c r="AH123" i="1"/>
  <c r="AG123" i="1"/>
  <c r="AR123" i="1"/>
  <c r="AS123" i="1"/>
  <c r="AT123" i="1"/>
  <c r="AU123" i="1"/>
  <c r="AV123" i="1"/>
  <c r="J123" i="1"/>
  <c r="L123" i="1"/>
  <c r="F123" i="1"/>
  <c r="B123" i="1"/>
  <c r="D123" i="1"/>
  <c r="AP122" i="1"/>
  <c r="AO122" i="1"/>
  <c r="AN122" i="1"/>
  <c r="AM122" i="1"/>
  <c r="AL122" i="1"/>
  <c r="AK122" i="1"/>
  <c r="AJ122" i="1"/>
  <c r="AI122" i="1"/>
  <c r="AH122" i="1"/>
  <c r="AG122" i="1"/>
  <c r="AR122" i="1" s="1"/>
  <c r="AS122" i="1" s="1"/>
  <c r="AT122" i="1" s="1"/>
  <c r="AU122" i="1" s="1"/>
  <c r="AV122" i="1" s="1"/>
  <c r="J122" i="1"/>
  <c r="L122" i="1" s="1"/>
  <c r="F122" i="1"/>
  <c r="B122" i="1"/>
  <c r="D122" i="1"/>
  <c r="AP114" i="1"/>
  <c r="AO114" i="1"/>
  <c r="AN114" i="1"/>
  <c r="AM114" i="1"/>
  <c r="AL114" i="1"/>
  <c r="AK114" i="1"/>
  <c r="AJ114" i="1"/>
  <c r="AI114" i="1"/>
  <c r="AH114" i="1"/>
  <c r="AG114" i="1"/>
  <c r="AR114" i="1"/>
  <c r="J114" i="1"/>
  <c r="L114" i="1" s="1"/>
  <c r="D114" i="1"/>
  <c r="C114" i="1"/>
  <c r="AS114" i="1" s="1"/>
  <c r="AT114" i="1" s="1"/>
  <c r="AU114" i="1" s="1"/>
  <c r="AV114" i="1" s="1"/>
  <c r="AP113" i="1"/>
  <c r="AO113" i="1"/>
  <c r="AN113" i="1"/>
  <c r="AM113" i="1"/>
  <c r="AL113" i="1"/>
  <c r="AK113" i="1"/>
  <c r="AJ113" i="1"/>
  <c r="AI113" i="1"/>
  <c r="AH113" i="1"/>
  <c r="AG113" i="1"/>
  <c r="AR113" i="1"/>
  <c r="J113" i="1"/>
  <c r="L113" i="1" s="1"/>
  <c r="D113" i="1"/>
  <c r="C113" i="1"/>
  <c r="AS113" i="1" s="1"/>
  <c r="AT113" i="1" s="1"/>
  <c r="AU113" i="1" s="1"/>
  <c r="AV113" i="1" s="1"/>
  <c r="AP112" i="1"/>
  <c r="AO112" i="1"/>
  <c r="AN112" i="1"/>
  <c r="AM112" i="1"/>
  <c r="AL112" i="1"/>
  <c r="AK112" i="1"/>
  <c r="AJ112" i="1"/>
  <c r="AI112" i="1"/>
  <c r="AH112" i="1"/>
  <c r="AG112" i="1"/>
  <c r="AR112" i="1"/>
  <c r="J112" i="1"/>
  <c r="L112" i="1" s="1"/>
  <c r="D112" i="1"/>
  <c r="C112" i="1"/>
  <c r="AS112" i="1" s="1"/>
  <c r="AT112" i="1" s="1"/>
  <c r="AU112" i="1" s="1"/>
  <c r="AV112" i="1" s="1"/>
  <c r="AP110" i="1"/>
  <c r="AO110" i="1"/>
  <c r="AN110" i="1"/>
  <c r="AM110" i="1"/>
  <c r="AL110" i="1"/>
  <c r="AK110" i="1"/>
  <c r="AJ110" i="1"/>
  <c r="AI110" i="1"/>
  <c r="AH110" i="1"/>
  <c r="AG110" i="1"/>
  <c r="AR110" i="1"/>
  <c r="J110" i="1"/>
  <c r="L110" i="1" s="1"/>
  <c r="D110" i="1"/>
  <c r="C110" i="1"/>
  <c r="AS110" i="1" s="1"/>
  <c r="AT110" i="1" s="1"/>
  <c r="AU110" i="1" s="1"/>
  <c r="AV110" i="1" s="1"/>
  <c r="AP109" i="1"/>
  <c r="AO109" i="1"/>
  <c r="AN109" i="1"/>
  <c r="AM109" i="1"/>
  <c r="AL109" i="1"/>
  <c r="AK109" i="1"/>
  <c r="AJ109" i="1"/>
  <c r="AI109" i="1"/>
  <c r="AH109" i="1"/>
  <c r="AG109" i="1"/>
  <c r="AR109" i="1"/>
  <c r="J109" i="1"/>
  <c r="L109" i="1" s="1"/>
  <c r="D109" i="1"/>
  <c r="C109" i="1"/>
  <c r="AS109" i="1" s="1"/>
  <c r="AT109" i="1" s="1"/>
  <c r="AU109" i="1" s="1"/>
  <c r="AV109" i="1" s="1"/>
  <c r="AP108" i="1"/>
  <c r="AO108" i="1"/>
  <c r="AN108" i="1"/>
  <c r="AM108" i="1"/>
  <c r="AL108" i="1"/>
  <c r="AK108" i="1"/>
  <c r="AJ108" i="1"/>
  <c r="AI108" i="1"/>
  <c r="AH108" i="1"/>
  <c r="AG108" i="1"/>
  <c r="AR108" i="1"/>
  <c r="J108" i="1"/>
  <c r="L108" i="1" s="1"/>
  <c r="D108" i="1"/>
  <c r="C108" i="1"/>
  <c r="AS108" i="1" s="1"/>
  <c r="AT108" i="1" s="1"/>
  <c r="AU108" i="1" s="1"/>
  <c r="AV108" i="1" s="1"/>
  <c r="AP107" i="1"/>
  <c r="AO107" i="1"/>
  <c r="AN107" i="1"/>
  <c r="AM107" i="1"/>
  <c r="AL107" i="1"/>
  <c r="AK107" i="1"/>
  <c r="AJ107" i="1"/>
  <c r="AI107" i="1"/>
  <c r="AH107" i="1"/>
  <c r="AG107" i="1"/>
  <c r="AR107" i="1"/>
  <c r="J107" i="1"/>
  <c r="L107" i="1" s="1"/>
  <c r="D107" i="1"/>
  <c r="C107" i="1"/>
  <c r="AS107" i="1" s="1"/>
  <c r="AT107" i="1" s="1"/>
  <c r="AU107" i="1" s="1"/>
  <c r="AV107" i="1" s="1"/>
  <c r="AP106" i="1"/>
  <c r="AO106" i="1"/>
  <c r="AN106" i="1"/>
  <c r="AM106" i="1"/>
  <c r="AL106" i="1"/>
  <c r="AK106" i="1"/>
  <c r="AJ106" i="1"/>
  <c r="AI106" i="1"/>
  <c r="AH106" i="1"/>
  <c r="AG106" i="1"/>
  <c r="AR106" i="1"/>
  <c r="J106" i="1"/>
  <c r="L106" i="1" s="1"/>
  <c r="D106" i="1"/>
  <c r="C106" i="1"/>
  <c r="AS106" i="1" s="1"/>
  <c r="AT106" i="1" s="1"/>
  <c r="AU106" i="1" s="1"/>
  <c r="AV106" i="1" s="1"/>
  <c r="AP105" i="1"/>
  <c r="AO105" i="1"/>
  <c r="AN105" i="1"/>
  <c r="AM105" i="1"/>
  <c r="AL105" i="1"/>
  <c r="AK105" i="1"/>
  <c r="AJ105" i="1"/>
  <c r="AI105" i="1"/>
  <c r="AH105" i="1"/>
  <c r="AG105" i="1"/>
  <c r="AR105" i="1"/>
  <c r="J105" i="1"/>
  <c r="L105" i="1" s="1"/>
  <c r="D105" i="1"/>
  <c r="C105" i="1"/>
  <c r="AS105" i="1" s="1"/>
  <c r="AT105" i="1" s="1"/>
  <c r="AU105" i="1" s="1"/>
  <c r="AV105" i="1" s="1"/>
  <c r="AP103" i="1"/>
  <c r="AO103" i="1"/>
  <c r="AN103" i="1"/>
  <c r="AM103" i="1"/>
  <c r="AL103" i="1"/>
  <c r="AK103" i="1"/>
  <c r="AJ103" i="1"/>
  <c r="AI103" i="1"/>
  <c r="AH103" i="1"/>
  <c r="AG103" i="1"/>
  <c r="AR103" i="1"/>
  <c r="J103" i="1"/>
  <c r="L103" i="1" s="1"/>
  <c r="D103" i="1"/>
  <c r="C103" i="1"/>
  <c r="AS103" i="1" s="1"/>
  <c r="AT103" i="1" s="1"/>
  <c r="AU103" i="1" s="1"/>
  <c r="AV103" i="1" s="1"/>
  <c r="AP102" i="1"/>
  <c r="AO102" i="1"/>
  <c r="AN102" i="1"/>
  <c r="AM102" i="1"/>
  <c r="AL102" i="1"/>
  <c r="AK102" i="1"/>
  <c r="AJ102" i="1"/>
  <c r="AI102" i="1"/>
  <c r="AH102" i="1"/>
  <c r="AG102" i="1"/>
  <c r="AR102" i="1"/>
  <c r="J102" i="1"/>
  <c r="L102" i="1" s="1"/>
  <c r="D102" i="1"/>
  <c r="C102" i="1"/>
  <c r="AS102" i="1" s="1"/>
  <c r="AT102" i="1" s="1"/>
  <c r="AU102" i="1" s="1"/>
  <c r="AV102" i="1" s="1"/>
  <c r="AP101" i="1"/>
  <c r="AO101" i="1"/>
  <c r="AN101" i="1"/>
  <c r="AM101" i="1"/>
  <c r="AL101" i="1"/>
  <c r="AK101" i="1"/>
  <c r="AJ101" i="1"/>
  <c r="AI101" i="1"/>
  <c r="AH101" i="1"/>
  <c r="AG101" i="1"/>
  <c r="AR101" i="1"/>
  <c r="J101" i="1"/>
  <c r="L101" i="1" s="1"/>
  <c r="D101" i="1"/>
  <c r="C101" i="1"/>
  <c r="AS101" i="1" s="1"/>
  <c r="AT101" i="1" s="1"/>
  <c r="AU101" i="1" s="1"/>
  <c r="AV101" i="1" s="1"/>
  <c r="AP100" i="1"/>
  <c r="AO100" i="1"/>
  <c r="AN100" i="1"/>
  <c r="AM100" i="1"/>
  <c r="AL100" i="1"/>
  <c r="AK100" i="1"/>
  <c r="AJ100" i="1"/>
  <c r="AI100" i="1"/>
  <c r="AH100" i="1"/>
  <c r="AG100" i="1"/>
  <c r="AR100" i="1"/>
  <c r="AS100" i="1"/>
  <c r="AT100" i="1"/>
  <c r="AU100" i="1"/>
  <c r="AV100" i="1"/>
  <c r="AP99" i="1"/>
  <c r="AO99" i="1"/>
  <c r="AN99" i="1"/>
  <c r="AM99" i="1"/>
  <c r="AL99" i="1"/>
  <c r="AK99" i="1"/>
  <c r="AJ99" i="1"/>
  <c r="AI99" i="1"/>
  <c r="AH99" i="1"/>
  <c r="AG99" i="1"/>
  <c r="AR99" i="1"/>
  <c r="J99" i="1"/>
  <c r="L99" i="1" s="1"/>
  <c r="D99" i="1"/>
  <c r="C99" i="1"/>
  <c r="AS99" i="1" s="1"/>
  <c r="AT99" i="1" s="1"/>
  <c r="AU99" i="1" s="1"/>
  <c r="AV99" i="1" s="1"/>
  <c r="AP98" i="1"/>
  <c r="AO98" i="1"/>
  <c r="AN98" i="1"/>
  <c r="AM98" i="1"/>
  <c r="AL98" i="1"/>
  <c r="AK98" i="1"/>
  <c r="AJ98" i="1"/>
  <c r="AI98" i="1"/>
  <c r="AH98" i="1"/>
  <c r="AG98" i="1"/>
  <c r="AR98" i="1"/>
  <c r="J98" i="1"/>
  <c r="L98" i="1" s="1"/>
  <c r="D98" i="1"/>
  <c r="C98" i="1"/>
  <c r="AS98" i="1" s="1"/>
  <c r="AT98" i="1" s="1"/>
  <c r="AU98" i="1" s="1"/>
  <c r="AV98" i="1" s="1"/>
  <c r="AP97" i="1"/>
  <c r="AO97" i="1"/>
  <c r="AN97" i="1"/>
  <c r="AM97" i="1"/>
  <c r="AL97" i="1"/>
  <c r="AK97" i="1"/>
  <c r="AJ97" i="1"/>
  <c r="AI97" i="1"/>
  <c r="AH97" i="1"/>
  <c r="AG97" i="1"/>
  <c r="AR97" i="1"/>
  <c r="J97" i="1"/>
  <c r="L97" i="1" s="1"/>
  <c r="D97" i="1"/>
  <c r="C97" i="1"/>
  <c r="AS97" i="1" s="1"/>
  <c r="AT97" i="1" s="1"/>
  <c r="AU97" i="1" s="1"/>
  <c r="AV97" i="1" s="1"/>
  <c r="AP96" i="1"/>
  <c r="AO96" i="1"/>
  <c r="AN96" i="1"/>
  <c r="AM96" i="1"/>
  <c r="AL96" i="1"/>
  <c r="AK96" i="1"/>
  <c r="AJ96" i="1"/>
  <c r="AI96" i="1"/>
  <c r="AH96" i="1"/>
  <c r="AG96" i="1"/>
  <c r="AR96" i="1"/>
  <c r="J96" i="1"/>
  <c r="L96" i="1" s="1"/>
  <c r="D96" i="1"/>
  <c r="C96" i="1"/>
  <c r="AS96" i="1" s="1"/>
  <c r="AT96" i="1" s="1"/>
  <c r="AU96" i="1" s="1"/>
  <c r="AV96" i="1" s="1"/>
  <c r="O8" i="8"/>
  <c r="AC5" i="8" s="1"/>
  <c r="AP119" i="1"/>
  <c r="AO119" i="1"/>
  <c r="AN119" i="1"/>
  <c r="AM119" i="1"/>
  <c r="AL119" i="1"/>
  <c r="AK119" i="1"/>
  <c r="AJ119" i="1"/>
  <c r="AI119" i="1"/>
  <c r="AH119" i="1"/>
  <c r="AG119" i="1"/>
  <c r="AR119" i="1"/>
  <c r="AS119" i="1"/>
  <c r="AT119" i="1"/>
  <c r="AU119" i="1"/>
  <c r="AV119" i="1"/>
  <c r="F119" i="1"/>
  <c r="B119" i="1"/>
  <c r="K119" i="1"/>
  <c r="J119" i="1"/>
  <c r="L119" i="1"/>
  <c r="AP118" i="1"/>
  <c r="AO118" i="1"/>
  <c r="AN118" i="1"/>
  <c r="AM118" i="1"/>
  <c r="AL118" i="1"/>
  <c r="AK118" i="1"/>
  <c r="AJ118" i="1"/>
  <c r="AI118" i="1"/>
  <c r="AH118" i="1"/>
  <c r="AG118" i="1"/>
  <c r="AR118" i="1"/>
  <c r="AS118" i="1"/>
  <c r="AT118" i="1"/>
  <c r="AU118" i="1"/>
  <c r="AV118" i="1"/>
  <c r="F118" i="1"/>
  <c r="B118" i="1"/>
  <c r="AP117" i="1"/>
  <c r="AO117" i="1"/>
  <c r="AN117" i="1"/>
  <c r="AM117" i="1"/>
  <c r="AL117" i="1"/>
  <c r="AK117" i="1"/>
  <c r="AJ117" i="1"/>
  <c r="AI117" i="1"/>
  <c r="AH117" i="1"/>
  <c r="AG117" i="1"/>
  <c r="AR117" i="1" s="1"/>
  <c r="AS117" i="1" s="1"/>
  <c r="AT117" i="1" s="1"/>
  <c r="AU117" i="1" s="1"/>
  <c r="AV117" i="1" s="1"/>
  <c r="F117" i="1"/>
  <c r="B117" i="1"/>
  <c r="D117" i="1"/>
  <c r="AP116" i="1"/>
  <c r="AO116" i="1"/>
  <c r="AN116" i="1"/>
  <c r="AM116" i="1"/>
  <c r="AL116" i="1"/>
  <c r="AK116" i="1"/>
  <c r="AJ116" i="1"/>
  <c r="AI116" i="1"/>
  <c r="AH116" i="1"/>
  <c r="AG116" i="1"/>
  <c r="AR116" i="1"/>
  <c r="AS116" i="1"/>
  <c r="AT116" i="1"/>
  <c r="AU116" i="1"/>
  <c r="AV116" i="1"/>
  <c r="F116" i="1"/>
  <c r="B116" i="1"/>
  <c r="K116" i="1"/>
  <c r="J116" i="1"/>
  <c r="L116" i="1"/>
  <c r="AP92" i="1"/>
  <c r="AO92" i="1"/>
  <c r="AN92" i="1"/>
  <c r="AM92" i="1"/>
  <c r="AL92" i="1"/>
  <c r="AK92" i="1"/>
  <c r="AJ92" i="1"/>
  <c r="AI92" i="1"/>
  <c r="AH92" i="1"/>
  <c r="AG92" i="1"/>
  <c r="AR92" i="1"/>
  <c r="AS92" i="1"/>
  <c r="AT92" i="1"/>
  <c r="AU92" i="1"/>
  <c r="AV92" i="1"/>
  <c r="J92" i="1"/>
  <c r="L92" i="1"/>
  <c r="D92" i="1"/>
  <c r="AP91" i="1"/>
  <c r="AO91" i="1"/>
  <c r="AN91" i="1"/>
  <c r="AM91" i="1"/>
  <c r="AL91" i="1"/>
  <c r="AK91" i="1"/>
  <c r="AJ91" i="1"/>
  <c r="AI91" i="1"/>
  <c r="AH91" i="1"/>
  <c r="AG91" i="1"/>
  <c r="AP90" i="1"/>
  <c r="AO90" i="1"/>
  <c r="AN90" i="1"/>
  <c r="AM90" i="1"/>
  <c r="AL90" i="1"/>
  <c r="AK90" i="1"/>
  <c r="AJ90" i="1"/>
  <c r="AI90" i="1"/>
  <c r="AH90" i="1"/>
  <c r="AG90" i="1"/>
  <c r="AR90" i="1" s="1"/>
  <c r="AS90" i="1" s="1"/>
  <c r="AT90" i="1" s="1"/>
  <c r="AU90" i="1" s="1"/>
  <c r="AV90" i="1" s="1"/>
  <c r="J90" i="1"/>
  <c r="L90" i="1" s="1"/>
  <c r="D90" i="1"/>
  <c r="AP89" i="1"/>
  <c r="AO89" i="1"/>
  <c r="AN89" i="1"/>
  <c r="AM89" i="1"/>
  <c r="AL89" i="1"/>
  <c r="AK89" i="1"/>
  <c r="AJ89" i="1"/>
  <c r="AI89" i="1"/>
  <c r="AH89" i="1"/>
  <c r="AG89" i="1"/>
  <c r="AR89" i="1"/>
  <c r="AS89" i="1"/>
  <c r="AT89" i="1"/>
  <c r="AU89" i="1"/>
  <c r="AV89" i="1"/>
  <c r="J89" i="1"/>
  <c r="L89" i="1"/>
  <c r="D89" i="1"/>
  <c r="AP88" i="1"/>
  <c r="AO88" i="1"/>
  <c r="AN88" i="1"/>
  <c r="AM88" i="1"/>
  <c r="AL88" i="1"/>
  <c r="AK88" i="1"/>
  <c r="AJ88" i="1"/>
  <c r="AI88" i="1"/>
  <c r="AH88" i="1"/>
  <c r="AG88" i="1"/>
  <c r="AR88" i="1" s="1"/>
  <c r="AS88" i="1" s="1"/>
  <c r="AT88" i="1" s="1"/>
  <c r="AU88" i="1" s="1"/>
  <c r="AV88" i="1" s="1"/>
  <c r="J88" i="1"/>
  <c r="L88" i="1"/>
  <c r="D88" i="1"/>
  <c r="AP87" i="1"/>
  <c r="AO87" i="1"/>
  <c r="AN87" i="1"/>
  <c r="AM87" i="1"/>
  <c r="AL87" i="1"/>
  <c r="AK87" i="1"/>
  <c r="AJ87" i="1"/>
  <c r="AI87" i="1"/>
  <c r="AH87" i="1"/>
  <c r="AG87" i="1"/>
  <c r="AR87" i="1"/>
  <c r="AS87" i="1"/>
  <c r="AT87" i="1"/>
  <c r="AU87" i="1"/>
  <c r="AV87" i="1"/>
  <c r="J87" i="1"/>
  <c r="L87" i="1" s="1"/>
  <c r="D87" i="1"/>
  <c r="AP86" i="1"/>
  <c r="AO86" i="1"/>
  <c r="AN86" i="1"/>
  <c r="AM86" i="1"/>
  <c r="AL86" i="1"/>
  <c r="AK86" i="1"/>
  <c r="AJ86" i="1"/>
  <c r="AI86" i="1"/>
  <c r="AH86" i="1"/>
  <c r="AG86" i="1"/>
  <c r="AR86" i="1" s="1"/>
  <c r="AS86" i="1" s="1"/>
  <c r="AT86" i="1" s="1"/>
  <c r="AU86" i="1" s="1"/>
  <c r="AV86" i="1" s="1"/>
  <c r="J86" i="1"/>
  <c r="L86" i="1" s="1"/>
  <c r="D86" i="1"/>
  <c r="AP85" i="1"/>
  <c r="AO85" i="1"/>
  <c r="AN85" i="1"/>
  <c r="AM85" i="1"/>
  <c r="AL85" i="1"/>
  <c r="AK85" i="1"/>
  <c r="AJ85" i="1"/>
  <c r="AI85" i="1"/>
  <c r="AH85" i="1"/>
  <c r="AG85" i="1"/>
  <c r="AQ85" i="1" s="1"/>
  <c r="AR85" i="1"/>
  <c r="AS85" i="1"/>
  <c r="AT85" i="1"/>
  <c r="AU85" i="1"/>
  <c r="AV85" i="1"/>
  <c r="J85" i="1"/>
  <c r="L85" i="1"/>
  <c r="D85" i="1"/>
  <c r="AP84" i="1"/>
  <c r="AO84" i="1"/>
  <c r="AN84" i="1"/>
  <c r="AM84" i="1"/>
  <c r="AL84" i="1"/>
  <c r="AK84" i="1"/>
  <c r="AJ84" i="1"/>
  <c r="AI84" i="1"/>
  <c r="AH84" i="1"/>
  <c r="AG84" i="1"/>
  <c r="AR84" i="1"/>
  <c r="AS84" i="1"/>
  <c r="AT84" i="1"/>
  <c r="AU84" i="1"/>
  <c r="AV84" i="1"/>
  <c r="J84" i="1"/>
  <c r="L84" i="1" s="1"/>
  <c r="D84" i="1"/>
  <c r="AP83" i="1"/>
  <c r="AO83" i="1"/>
  <c r="AN83" i="1"/>
  <c r="AM83" i="1"/>
  <c r="AL83" i="1"/>
  <c r="AK83" i="1"/>
  <c r="AJ83" i="1"/>
  <c r="AI83" i="1"/>
  <c r="AH83" i="1"/>
  <c r="AG83" i="1"/>
  <c r="AR83" i="1"/>
  <c r="AS83" i="1"/>
  <c r="AT83" i="1"/>
  <c r="AU83" i="1"/>
  <c r="AV83" i="1"/>
  <c r="J83" i="1"/>
  <c r="L83" i="1" s="1"/>
  <c r="D83" i="1"/>
  <c r="AP82" i="1"/>
  <c r="AO82" i="1"/>
  <c r="AN82" i="1"/>
  <c r="AM82" i="1"/>
  <c r="AL82" i="1"/>
  <c r="AK82" i="1"/>
  <c r="AJ82" i="1"/>
  <c r="AI82" i="1"/>
  <c r="AH82" i="1"/>
  <c r="AG82" i="1"/>
  <c r="AR82" i="1" s="1"/>
  <c r="AS82" i="1" s="1"/>
  <c r="AT82" i="1" s="1"/>
  <c r="AU82" i="1" s="1"/>
  <c r="AV82" i="1" s="1"/>
  <c r="J82" i="1"/>
  <c r="L82" i="1" s="1"/>
  <c r="D82" i="1"/>
  <c r="AP81" i="1"/>
  <c r="AO81" i="1"/>
  <c r="AN81" i="1"/>
  <c r="AM81" i="1"/>
  <c r="AL81" i="1"/>
  <c r="AK81" i="1"/>
  <c r="AJ81" i="1"/>
  <c r="AI81" i="1"/>
  <c r="AH81" i="1"/>
  <c r="AG81" i="1"/>
  <c r="AP80" i="1"/>
  <c r="AO80" i="1"/>
  <c r="AN80" i="1"/>
  <c r="AM80" i="1"/>
  <c r="AL80" i="1"/>
  <c r="AK80" i="1"/>
  <c r="AJ80" i="1"/>
  <c r="AI80" i="1"/>
  <c r="AH80" i="1"/>
  <c r="AG80" i="1"/>
  <c r="AP79" i="1"/>
  <c r="AO79" i="1"/>
  <c r="AN79" i="1"/>
  <c r="AM79" i="1"/>
  <c r="AL79" i="1"/>
  <c r="AK79" i="1"/>
  <c r="AJ79" i="1"/>
  <c r="AI79" i="1"/>
  <c r="AH79" i="1"/>
  <c r="AG79" i="1"/>
  <c r="AP78" i="1"/>
  <c r="AO78" i="1"/>
  <c r="AN78" i="1"/>
  <c r="AM78" i="1"/>
  <c r="AL78" i="1"/>
  <c r="AK78" i="1"/>
  <c r="AJ78" i="1"/>
  <c r="AI78" i="1"/>
  <c r="AH78" i="1"/>
  <c r="AG78" i="1"/>
  <c r="AR78" i="1"/>
  <c r="AS78" i="1"/>
  <c r="AT78" i="1"/>
  <c r="AU78" i="1"/>
  <c r="AV78" i="1"/>
  <c r="N78" i="1"/>
  <c r="J78" i="1"/>
  <c r="L78" i="1"/>
  <c r="D78" i="1"/>
  <c r="AP77" i="1"/>
  <c r="AO77" i="1"/>
  <c r="AN77" i="1"/>
  <c r="AM77" i="1"/>
  <c r="AL77" i="1"/>
  <c r="AK77" i="1"/>
  <c r="AJ77" i="1"/>
  <c r="AI77" i="1"/>
  <c r="AH77" i="1"/>
  <c r="AG77" i="1"/>
  <c r="AP76" i="1"/>
  <c r="AO76" i="1"/>
  <c r="AN76" i="1"/>
  <c r="AM76" i="1"/>
  <c r="AL76" i="1"/>
  <c r="AK76" i="1"/>
  <c r="AJ76" i="1"/>
  <c r="AI76" i="1"/>
  <c r="AH76" i="1"/>
  <c r="AG76" i="1"/>
  <c r="AR76" i="1"/>
  <c r="AS76" i="1"/>
  <c r="AT76" i="1"/>
  <c r="AU76" i="1"/>
  <c r="AV76" i="1"/>
  <c r="J76" i="1"/>
  <c r="L76" i="1"/>
  <c r="F76" i="1"/>
  <c r="D76" i="1"/>
  <c r="AP75" i="1"/>
  <c r="AO75" i="1"/>
  <c r="AN75" i="1"/>
  <c r="AM75" i="1"/>
  <c r="AL75" i="1"/>
  <c r="AK75" i="1"/>
  <c r="AJ75" i="1"/>
  <c r="AI75" i="1"/>
  <c r="AH75" i="1"/>
  <c r="AG75" i="1"/>
  <c r="AQ75" i="1" s="1"/>
  <c r="AR75" i="1"/>
  <c r="AS75" i="1"/>
  <c r="AT75" i="1"/>
  <c r="AU75" i="1"/>
  <c r="AV75" i="1"/>
  <c r="J75" i="1"/>
  <c r="L75" i="1"/>
  <c r="F75" i="1"/>
  <c r="D75" i="1"/>
  <c r="AP74" i="1"/>
  <c r="AO74" i="1"/>
  <c r="AN74" i="1"/>
  <c r="AM74" i="1"/>
  <c r="AL74" i="1"/>
  <c r="AK74" i="1"/>
  <c r="AJ74" i="1"/>
  <c r="AI74" i="1"/>
  <c r="AH74" i="1"/>
  <c r="AG74" i="1"/>
  <c r="AR74" i="1"/>
  <c r="AS74" i="1"/>
  <c r="AT74" i="1"/>
  <c r="AU74" i="1"/>
  <c r="AV74" i="1"/>
  <c r="J74" i="1"/>
  <c r="L74" i="1"/>
  <c r="F74" i="1"/>
  <c r="D74" i="1"/>
  <c r="AP71" i="1"/>
  <c r="AO71" i="1"/>
  <c r="AN71" i="1"/>
  <c r="AM71" i="1"/>
  <c r="AL71" i="1"/>
  <c r="AK71" i="1"/>
  <c r="AJ71" i="1"/>
  <c r="AI71" i="1"/>
  <c r="AH71" i="1"/>
  <c r="AG71" i="1"/>
  <c r="AQ71" i="1" s="1"/>
  <c r="AR71" i="1"/>
  <c r="J71" i="1"/>
  <c r="L71" i="1"/>
  <c r="F71" i="1"/>
  <c r="E71" i="1"/>
  <c r="AS71" i="1" s="1"/>
  <c r="AT71" i="1" s="1"/>
  <c r="AU71" i="1" s="1"/>
  <c r="AV71" i="1" s="1"/>
  <c r="D71" i="1"/>
  <c r="AP70" i="1"/>
  <c r="AO70" i="1"/>
  <c r="AN70" i="1"/>
  <c r="AM70" i="1"/>
  <c r="AL70" i="1"/>
  <c r="AK70" i="1"/>
  <c r="AJ70" i="1"/>
  <c r="AI70" i="1"/>
  <c r="AH70" i="1"/>
  <c r="AG70" i="1"/>
  <c r="AR70" i="1" s="1"/>
  <c r="J70" i="1"/>
  <c r="L70" i="1" s="1"/>
  <c r="F70" i="1"/>
  <c r="E70" i="1"/>
  <c r="D70" i="1"/>
  <c r="AP69" i="1"/>
  <c r="AO69" i="1"/>
  <c r="AN69" i="1"/>
  <c r="AM69" i="1"/>
  <c r="AL69" i="1"/>
  <c r="AK69" i="1"/>
  <c r="AJ69" i="1"/>
  <c r="AI69" i="1"/>
  <c r="AH69" i="1"/>
  <c r="AG69" i="1"/>
  <c r="AR69" i="1"/>
  <c r="J69" i="1"/>
  <c r="L69" i="1"/>
  <c r="F69" i="1"/>
  <c r="E69" i="1"/>
  <c r="AS69" i="1" s="1"/>
  <c r="AT69" i="1" s="1"/>
  <c r="AU69" i="1" s="1"/>
  <c r="AV69" i="1" s="1"/>
  <c r="D69" i="1"/>
  <c r="AP68" i="1"/>
  <c r="AO68" i="1"/>
  <c r="AN68" i="1"/>
  <c r="AM68" i="1"/>
  <c r="AL68" i="1"/>
  <c r="AK68" i="1"/>
  <c r="AJ68" i="1"/>
  <c r="AI68" i="1"/>
  <c r="AH68" i="1"/>
  <c r="AG68" i="1"/>
  <c r="AR68" i="1"/>
  <c r="J68" i="1"/>
  <c r="L68" i="1"/>
  <c r="F68" i="1"/>
  <c r="E68" i="1"/>
  <c r="AS68" i="1" s="1"/>
  <c r="AT68" i="1" s="1"/>
  <c r="AU68" i="1" s="1"/>
  <c r="AV68" i="1" s="1"/>
  <c r="D68" i="1"/>
  <c r="AP67" i="1"/>
  <c r="AO67" i="1"/>
  <c r="AN67" i="1"/>
  <c r="AM67" i="1"/>
  <c r="AL67" i="1"/>
  <c r="AK67" i="1"/>
  <c r="AJ67" i="1"/>
  <c r="AI67" i="1"/>
  <c r="AH67" i="1"/>
  <c r="AG67" i="1"/>
  <c r="AR67" i="1"/>
  <c r="J67" i="1"/>
  <c r="L67" i="1"/>
  <c r="F67" i="1"/>
  <c r="E67" i="1"/>
  <c r="AS67" i="1" s="1"/>
  <c r="AT67" i="1" s="1"/>
  <c r="AU67" i="1" s="1"/>
  <c r="AV67" i="1" s="1"/>
  <c r="D67" i="1"/>
  <c r="AP66" i="1"/>
  <c r="AO66" i="1"/>
  <c r="AN66" i="1"/>
  <c r="AM66" i="1"/>
  <c r="AL66" i="1"/>
  <c r="AK66" i="1"/>
  <c r="AJ66" i="1"/>
  <c r="AI66" i="1"/>
  <c r="AH66" i="1"/>
  <c r="AG66" i="1"/>
  <c r="AR66" i="1" s="1"/>
  <c r="J66" i="1"/>
  <c r="L66" i="1" s="1"/>
  <c r="F66" i="1"/>
  <c r="E66" i="1"/>
  <c r="D66" i="1"/>
  <c r="AP63" i="1"/>
  <c r="AO63" i="1"/>
  <c r="AN63" i="1"/>
  <c r="AM63" i="1"/>
  <c r="AL63" i="1"/>
  <c r="AK63" i="1"/>
  <c r="AJ63" i="1"/>
  <c r="AI63" i="1"/>
  <c r="AH63" i="1"/>
  <c r="AG63" i="1"/>
  <c r="AR63" i="1"/>
  <c r="AS63" i="1"/>
  <c r="AT63" i="1"/>
  <c r="AU63" i="1"/>
  <c r="AV63" i="1"/>
  <c r="J63" i="1"/>
  <c r="L63" i="1" s="1"/>
  <c r="D63" i="1"/>
  <c r="AP62" i="1"/>
  <c r="AO62" i="1"/>
  <c r="AN62" i="1"/>
  <c r="AM62" i="1"/>
  <c r="AL62" i="1"/>
  <c r="AK62" i="1"/>
  <c r="AJ62" i="1"/>
  <c r="AI62" i="1"/>
  <c r="AH62" i="1"/>
  <c r="AG62" i="1"/>
  <c r="AR62" i="1" s="1"/>
  <c r="AS62" i="1" s="1"/>
  <c r="AT62" i="1" s="1"/>
  <c r="AU62" i="1" s="1"/>
  <c r="AV62" i="1" s="1"/>
  <c r="J62" i="1"/>
  <c r="L62" i="1" s="1"/>
  <c r="D62" i="1"/>
  <c r="AP61" i="1"/>
  <c r="AO61" i="1"/>
  <c r="AN61" i="1"/>
  <c r="AM61" i="1"/>
  <c r="AL61" i="1"/>
  <c r="AK61" i="1"/>
  <c r="AJ61" i="1"/>
  <c r="AI61" i="1"/>
  <c r="AH61" i="1"/>
  <c r="AG61" i="1"/>
  <c r="AR61" i="1"/>
  <c r="AS61" i="1"/>
  <c r="AT61" i="1"/>
  <c r="AU61" i="1"/>
  <c r="AV61" i="1"/>
  <c r="J61" i="1"/>
  <c r="L61" i="1"/>
  <c r="D61" i="1"/>
  <c r="AP60" i="1"/>
  <c r="AO60" i="1"/>
  <c r="AN60" i="1"/>
  <c r="AM60" i="1"/>
  <c r="AL60" i="1"/>
  <c r="AK60" i="1"/>
  <c r="AJ60" i="1"/>
  <c r="AI60" i="1"/>
  <c r="AH60" i="1"/>
  <c r="AG60" i="1"/>
  <c r="AR60" i="1" s="1"/>
  <c r="AS60" i="1" s="1"/>
  <c r="AT60" i="1" s="1"/>
  <c r="AU60" i="1" s="1"/>
  <c r="AV60" i="1" s="1"/>
  <c r="J60" i="1"/>
  <c r="L60" i="1"/>
  <c r="D60" i="1"/>
  <c r="AP59" i="1"/>
  <c r="AO59" i="1"/>
  <c r="AN59" i="1"/>
  <c r="AM59" i="1"/>
  <c r="AL59" i="1"/>
  <c r="AK59" i="1"/>
  <c r="AJ59" i="1"/>
  <c r="AI59" i="1"/>
  <c r="AH59" i="1"/>
  <c r="AG59" i="1"/>
  <c r="AR59" i="1"/>
  <c r="AS59" i="1"/>
  <c r="AT59" i="1"/>
  <c r="AU59" i="1"/>
  <c r="AV59" i="1"/>
  <c r="J59" i="1"/>
  <c r="L59" i="1"/>
  <c r="D59" i="1"/>
  <c r="AP58" i="1"/>
  <c r="AO58" i="1"/>
  <c r="AN58" i="1"/>
  <c r="AM58" i="1"/>
  <c r="AL58" i="1"/>
  <c r="AK58" i="1"/>
  <c r="AJ58" i="1"/>
  <c r="AI58" i="1"/>
  <c r="AH58" i="1"/>
  <c r="AG58" i="1"/>
  <c r="AR58" i="1" s="1"/>
  <c r="AS58" i="1" s="1"/>
  <c r="AT58" i="1" s="1"/>
  <c r="AU58" i="1" s="1"/>
  <c r="AV58" i="1" s="1"/>
  <c r="J58" i="1"/>
  <c r="L58" i="1" s="1"/>
  <c r="D58" i="1"/>
  <c r="AP57" i="1"/>
  <c r="AO57" i="1"/>
  <c r="AN57" i="1"/>
  <c r="AM57" i="1"/>
  <c r="AL57" i="1"/>
  <c r="AK57" i="1"/>
  <c r="AJ57" i="1"/>
  <c r="AI57" i="1"/>
  <c r="AH57" i="1"/>
  <c r="AG57" i="1"/>
  <c r="AR57" i="1" s="1"/>
  <c r="AS57" i="1" s="1"/>
  <c r="AT57" i="1" s="1"/>
  <c r="AU57" i="1" s="1"/>
  <c r="AV57" i="1" s="1"/>
  <c r="J57" i="1"/>
  <c r="L57" i="1"/>
  <c r="D57" i="1"/>
  <c r="AP56" i="1"/>
  <c r="AO56" i="1"/>
  <c r="AN56" i="1"/>
  <c r="AM56" i="1"/>
  <c r="AL56" i="1"/>
  <c r="AK56" i="1"/>
  <c r="AJ56" i="1"/>
  <c r="AI56" i="1"/>
  <c r="AH56" i="1"/>
  <c r="AG56" i="1"/>
  <c r="AR56" i="1"/>
  <c r="AS56" i="1"/>
  <c r="AT56" i="1"/>
  <c r="AU56" i="1"/>
  <c r="AV56" i="1"/>
  <c r="J56" i="1"/>
  <c r="L56" i="1" s="1"/>
  <c r="D56" i="1"/>
  <c r="AP55" i="1"/>
  <c r="AO55" i="1"/>
  <c r="AN55" i="1"/>
  <c r="AM55" i="1"/>
  <c r="AL55" i="1"/>
  <c r="AK55" i="1"/>
  <c r="AJ55" i="1"/>
  <c r="AI55" i="1"/>
  <c r="AH55" i="1"/>
  <c r="AG55" i="1"/>
  <c r="AR55" i="1"/>
  <c r="AS55" i="1"/>
  <c r="AT55" i="1"/>
  <c r="AU55" i="1"/>
  <c r="AV55" i="1"/>
  <c r="J55" i="1"/>
  <c r="L55" i="1"/>
  <c r="D55" i="1"/>
  <c r="AP54" i="1"/>
  <c r="AO54" i="1"/>
  <c r="AN54" i="1"/>
  <c r="AM54" i="1"/>
  <c r="AL54" i="1"/>
  <c r="AK54" i="1"/>
  <c r="AJ54" i="1"/>
  <c r="AI54" i="1"/>
  <c r="AH54" i="1"/>
  <c r="AG54" i="1"/>
  <c r="AR54" i="1" s="1"/>
  <c r="AS54" i="1" s="1"/>
  <c r="AT54" i="1" s="1"/>
  <c r="AU54" i="1" s="1"/>
  <c r="AV54" i="1" s="1"/>
  <c r="J54" i="1"/>
  <c r="L54" i="1" s="1"/>
  <c r="D54" i="1"/>
  <c r="AP53" i="1"/>
  <c r="AO53" i="1"/>
  <c r="AN53" i="1"/>
  <c r="AM53" i="1"/>
  <c r="AL53" i="1"/>
  <c r="AK53" i="1"/>
  <c r="AJ53" i="1"/>
  <c r="AI53" i="1"/>
  <c r="AH53" i="1"/>
  <c r="AG53" i="1"/>
  <c r="AR53" i="1"/>
  <c r="AS53" i="1"/>
  <c r="AT53" i="1"/>
  <c r="AU53" i="1"/>
  <c r="AV53" i="1"/>
  <c r="J53" i="1"/>
  <c r="L53" i="1"/>
  <c r="D53" i="1"/>
  <c r="AP52" i="1"/>
  <c r="AO52" i="1"/>
  <c r="AN52" i="1"/>
  <c r="AM52" i="1"/>
  <c r="AL52" i="1"/>
  <c r="AK52" i="1"/>
  <c r="AJ52" i="1"/>
  <c r="AI52" i="1"/>
  <c r="AH52" i="1"/>
  <c r="AG52" i="1"/>
  <c r="AR52" i="1" s="1"/>
  <c r="AS52" i="1" s="1"/>
  <c r="AT52" i="1" s="1"/>
  <c r="AU52" i="1" s="1"/>
  <c r="AV52" i="1" s="1"/>
  <c r="J52" i="1"/>
  <c r="L52" i="1" s="1"/>
  <c r="D52" i="1"/>
  <c r="AP49" i="1"/>
  <c r="AO49" i="1"/>
  <c r="AN49" i="1"/>
  <c r="AM49" i="1"/>
  <c r="AL49" i="1"/>
  <c r="AK49" i="1"/>
  <c r="AJ49" i="1"/>
  <c r="AI49" i="1"/>
  <c r="AH49" i="1"/>
  <c r="AG49" i="1"/>
  <c r="AR49" i="1"/>
  <c r="AS49" i="1"/>
  <c r="AT49" i="1"/>
  <c r="AU49" i="1"/>
  <c r="AV49" i="1"/>
  <c r="J49" i="1"/>
  <c r="L49" i="1"/>
  <c r="D49" i="1"/>
  <c r="AP48" i="1"/>
  <c r="AO48" i="1"/>
  <c r="AN48" i="1"/>
  <c r="AM48" i="1"/>
  <c r="AL48" i="1"/>
  <c r="AK48" i="1"/>
  <c r="AJ48" i="1"/>
  <c r="AI48" i="1"/>
  <c r="AH48" i="1"/>
  <c r="AG48" i="1"/>
  <c r="AR48" i="1" s="1"/>
  <c r="AS48" i="1" s="1"/>
  <c r="AT48" i="1" s="1"/>
  <c r="AU48" i="1" s="1"/>
  <c r="AV48" i="1" s="1"/>
  <c r="J48" i="1"/>
  <c r="L48" i="1" s="1"/>
  <c r="D48" i="1"/>
  <c r="AP47" i="1"/>
  <c r="AO47" i="1"/>
  <c r="AN47" i="1"/>
  <c r="AM47" i="1"/>
  <c r="AL47" i="1"/>
  <c r="AK47" i="1"/>
  <c r="AJ47" i="1"/>
  <c r="AI47" i="1"/>
  <c r="AH47" i="1"/>
  <c r="AG47" i="1"/>
  <c r="AQ47" i="1" s="1"/>
  <c r="AR47" i="1"/>
  <c r="AS47" i="1"/>
  <c r="AT47" i="1"/>
  <c r="AU47" i="1"/>
  <c r="AV47" i="1"/>
  <c r="J47" i="1"/>
  <c r="L47" i="1"/>
  <c r="D47" i="1"/>
  <c r="AP46" i="1"/>
  <c r="AO46" i="1"/>
  <c r="AN46" i="1"/>
  <c r="AM46" i="1"/>
  <c r="AL46" i="1"/>
  <c r="AK46" i="1"/>
  <c r="AJ46" i="1"/>
  <c r="AI46" i="1"/>
  <c r="AH46" i="1"/>
  <c r="AG46" i="1"/>
  <c r="AR46" i="1"/>
  <c r="AS46" i="1"/>
  <c r="AT46" i="1"/>
  <c r="AU46" i="1"/>
  <c r="AV46" i="1"/>
  <c r="J46" i="1"/>
  <c r="L46" i="1" s="1"/>
  <c r="D46" i="1"/>
  <c r="AP45" i="1"/>
  <c r="AO45" i="1"/>
  <c r="AN45" i="1"/>
  <c r="AM45" i="1"/>
  <c r="AL45" i="1"/>
  <c r="AK45" i="1"/>
  <c r="AJ45" i="1"/>
  <c r="AI45" i="1"/>
  <c r="AH45" i="1"/>
  <c r="AG45" i="1"/>
  <c r="AR45" i="1"/>
  <c r="AS45" i="1"/>
  <c r="AT45" i="1"/>
  <c r="AU45" i="1"/>
  <c r="AV45" i="1"/>
  <c r="J45" i="1"/>
  <c r="L45" i="1"/>
  <c r="D45" i="1"/>
  <c r="AP44" i="1"/>
  <c r="AO44" i="1"/>
  <c r="AN44" i="1"/>
  <c r="AM44" i="1"/>
  <c r="AL44" i="1"/>
  <c r="AK44" i="1"/>
  <c r="AJ44" i="1"/>
  <c r="AI44" i="1"/>
  <c r="AH44" i="1"/>
  <c r="AG44" i="1"/>
  <c r="AR44" i="1" s="1"/>
  <c r="AS44" i="1" s="1"/>
  <c r="AT44" i="1" s="1"/>
  <c r="AU44" i="1" s="1"/>
  <c r="AV44" i="1" s="1"/>
  <c r="J44" i="1"/>
  <c r="L44" i="1" s="1"/>
  <c r="D44" i="1"/>
  <c r="AP43" i="1"/>
  <c r="AO43" i="1"/>
  <c r="AN43" i="1"/>
  <c r="AM43" i="1"/>
  <c r="AL43" i="1"/>
  <c r="AK43" i="1"/>
  <c r="AJ43" i="1"/>
  <c r="AI43" i="1"/>
  <c r="AH43" i="1"/>
  <c r="AG43" i="1"/>
  <c r="AR43" i="1"/>
  <c r="AS43" i="1"/>
  <c r="AT43" i="1"/>
  <c r="AU43" i="1"/>
  <c r="AV43" i="1"/>
  <c r="J43" i="1"/>
  <c r="L43" i="1"/>
  <c r="D43" i="1"/>
  <c r="AP42" i="1"/>
  <c r="AO42" i="1"/>
  <c r="AN42" i="1"/>
  <c r="AM42" i="1"/>
  <c r="AL42" i="1"/>
  <c r="AK42" i="1"/>
  <c r="AJ42" i="1"/>
  <c r="AI42" i="1"/>
  <c r="AH42" i="1"/>
  <c r="AG42" i="1"/>
  <c r="AR42" i="1" s="1"/>
  <c r="AS42" i="1" s="1"/>
  <c r="AT42" i="1" s="1"/>
  <c r="AU42" i="1" s="1"/>
  <c r="AV42" i="1" s="1"/>
  <c r="J42" i="1"/>
  <c r="L42" i="1" s="1"/>
  <c r="D42" i="1"/>
  <c r="AP41" i="1"/>
  <c r="AO41" i="1"/>
  <c r="AN41" i="1"/>
  <c r="AM41" i="1"/>
  <c r="AL41" i="1"/>
  <c r="AK41" i="1"/>
  <c r="AJ41" i="1"/>
  <c r="AI41" i="1"/>
  <c r="AH41" i="1"/>
  <c r="AG41" i="1"/>
  <c r="AR41" i="1"/>
  <c r="AS41" i="1"/>
  <c r="AT41" i="1"/>
  <c r="AU41" i="1"/>
  <c r="AV41" i="1"/>
  <c r="J41" i="1"/>
  <c r="L41" i="1"/>
  <c r="D41" i="1"/>
  <c r="AP40" i="1"/>
  <c r="AO40" i="1"/>
  <c r="AN40" i="1"/>
  <c r="AM40" i="1"/>
  <c r="AL40" i="1"/>
  <c r="AK40" i="1"/>
  <c r="AJ40" i="1"/>
  <c r="AI40" i="1"/>
  <c r="AH40" i="1"/>
  <c r="AG40" i="1"/>
  <c r="AR40" i="1" s="1"/>
  <c r="AS40" i="1" s="1"/>
  <c r="AT40" i="1" s="1"/>
  <c r="AU40" i="1" s="1"/>
  <c r="AV40" i="1" s="1"/>
  <c r="J40" i="1"/>
  <c r="L40" i="1" s="1"/>
  <c r="D40" i="1"/>
  <c r="AP39" i="1"/>
  <c r="AO39" i="1"/>
  <c r="AN39" i="1"/>
  <c r="AM39" i="1"/>
  <c r="AL39" i="1"/>
  <c r="AK39" i="1"/>
  <c r="AJ39" i="1"/>
  <c r="AI39" i="1"/>
  <c r="AH39" i="1"/>
  <c r="AG39" i="1"/>
  <c r="AR39" i="1"/>
  <c r="AS39" i="1"/>
  <c r="AT39" i="1"/>
  <c r="AU39" i="1"/>
  <c r="AV39" i="1"/>
  <c r="J39" i="1"/>
  <c r="L39" i="1"/>
  <c r="D39" i="1"/>
  <c r="AP38" i="1"/>
  <c r="AO38" i="1"/>
  <c r="AN38" i="1"/>
  <c r="AM38" i="1"/>
  <c r="AL38" i="1"/>
  <c r="AK38" i="1"/>
  <c r="AJ38" i="1"/>
  <c r="AI38" i="1"/>
  <c r="AH38" i="1"/>
  <c r="AG38" i="1"/>
  <c r="AR38" i="1"/>
  <c r="AS38" i="1"/>
  <c r="AT38" i="1"/>
  <c r="AU38" i="1"/>
  <c r="AV38" i="1"/>
  <c r="J38" i="1"/>
  <c r="L38" i="1" s="1"/>
  <c r="D38" i="1"/>
  <c r="AP35" i="1"/>
  <c r="AO35" i="1"/>
  <c r="AN35" i="1"/>
  <c r="AM35" i="1"/>
  <c r="AL35" i="1"/>
  <c r="AK35" i="1"/>
  <c r="AJ35" i="1"/>
  <c r="AI35" i="1"/>
  <c r="AH35" i="1"/>
  <c r="AG35" i="1"/>
  <c r="AR35" i="1"/>
  <c r="AS35" i="1"/>
  <c r="AT35" i="1"/>
  <c r="AU35" i="1"/>
  <c r="AV35" i="1"/>
  <c r="J35" i="1"/>
  <c r="L35" i="1"/>
  <c r="D35" i="1"/>
  <c r="AP34" i="1"/>
  <c r="AO34" i="1"/>
  <c r="AN34" i="1"/>
  <c r="AM34" i="1"/>
  <c r="AL34" i="1"/>
  <c r="AK34" i="1"/>
  <c r="AJ34" i="1"/>
  <c r="AI34" i="1"/>
  <c r="AH34" i="1"/>
  <c r="AG34" i="1"/>
  <c r="AR34" i="1" s="1"/>
  <c r="AS34" i="1" s="1"/>
  <c r="AT34" i="1" s="1"/>
  <c r="AU34" i="1" s="1"/>
  <c r="AV34" i="1" s="1"/>
  <c r="J34" i="1"/>
  <c r="L34" i="1" s="1"/>
  <c r="D34" i="1"/>
  <c r="AP33" i="1"/>
  <c r="AO33" i="1"/>
  <c r="AN33" i="1"/>
  <c r="AM33" i="1"/>
  <c r="AL33" i="1"/>
  <c r="AK33" i="1"/>
  <c r="AJ33" i="1"/>
  <c r="AI33" i="1"/>
  <c r="AH33" i="1"/>
  <c r="AG33" i="1"/>
  <c r="AQ33" i="1" s="1"/>
  <c r="AR33" i="1"/>
  <c r="AS33" i="1"/>
  <c r="AT33" i="1"/>
  <c r="AU33" i="1"/>
  <c r="AV33" i="1"/>
  <c r="J33" i="1"/>
  <c r="L33" i="1"/>
  <c r="D33" i="1"/>
  <c r="AP32" i="1"/>
  <c r="AO32" i="1"/>
  <c r="AN32" i="1"/>
  <c r="AM32" i="1"/>
  <c r="AL32" i="1"/>
  <c r="AK32" i="1"/>
  <c r="AJ32" i="1"/>
  <c r="AI32" i="1"/>
  <c r="AH32" i="1"/>
  <c r="AG32" i="1"/>
  <c r="AR32" i="1" s="1"/>
  <c r="AS32" i="1" s="1"/>
  <c r="AT32" i="1" s="1"/>
  <c r="AU32" i="1" s="1"/>
  <c r="AV32" i="1" s="1"/>
  <c r="J32" i="1"/>
  <c r="L32" i="1" s="1"/>
  <c r="D32" i="1"/>
  <c r="AP31" i="1"/>
  <c r="AO31" i="1"/>
  <c r="AN31" i="1"/>
  <c r="AM31" i="1"/>
  <c r="AL31" i="1"/>
  <c r="AK31" i="1"/>
  <c r="AJ31" i="1"/>
  <c r="AI31" i="1"/>
  <c r="AH31" i="1"/>
  <c r="AG31" i="1"/>
  <c r="AR31" i="1"/>
  <c r="AS31" i="1"/>
  <c r="AT31" i="1"/>
  <c r="AU31" i="1"/>
  <c r="AV31" i="1"/>
  <c r="J31" i="1"/>
  <c r="L31" i="1"/>
  <c r="D31" i="1"/>
  <c r="AP30" i="1"/>
  <c r="AO30" i="1"/>
  <c r="AN30" i="1"/>
  <c r="AM30" i="1"/>
  <c r="AL30" i="1"/>
  <c r="AK30" i="1"/>
  <c r="AJ30" i="1"/>
  <c r="AI30" i="1"/>
  <c r="AH30" i="1"/>
  <c r="AG30" i="1"/>
  <c r="AR30" i="1" s="1"/>
  <c r="AS30" i="1" s="1"/>
  <c r="AT30" i="1" s="1"/>
  <c r="AU30" i="1" s="1"/>
  <c r="AV30" i="1" s="1"/>
  <c r="J30" i="1"/>
  <c r="L30" i="1" s="1"/>
  <c r="D30" i="1"/>
  <c r="AP29" i="1"/>
  <c r="AO29" i="1"/>
  <c r="AN29" i="1"/>
  <c r="AM29" i="1"/>
  <c r="AL29" i="1"/>
  <c r="AK29" i="1"/>
  <c r="AJ29" i="1"/>
  <c r="AI29" i="1"/>
  <c r="AH29" i="1"/>
  <c r="AG29" i="1"/>
  <c r="AR29" i="1"/>
  <c r="AS29" i="1"/>
  <c r="AT29" i="1"/>
  <c r="AU29" i="1"/>
  <c r="AV29" i="1"/>
  <c r="J29" i="1"/>
  <c r="L29" i="1"/>
  <c r="D29" i="1"/>
  <c r="AP28" i="1"/>
  <c r="AO28" i="1"/>
  <c r="AN28" i="1"/>
  <c r="AM28" i="1"/>
  <c r="AL28" i="1"/>
  <c r="AK28" i="1"/>
  <c r="AJ28" i="1"/>
  <c r="AI28" i="1"/>
  <c r="AH28" i="1"/>
  <c r="AG28" i="1"/>
  <c r="AR28" i="1" s="1"/>
  <c r="AS28" i="1" s="1"/>
  <c r="AT28" i="1" s="1"/>
  <c r="AU28" i="1" s="1"/>
  <c r="AV28" i="1" s="1"/>
  <c r="J28" i="1"/>
  <c r="L28" i="1" s="1"/>
  <c r="D28" i="1"/>
  <c r="AP27" i="1"/>
  <c r="AO27" i="1"/>
  <c r="AN27" i="1"/>
  <c r="AM27" i="1"/>
  <c r="AL27" i="1"/>
  <c r="AK27" i="1"/>
  <c r="AJ27" i="1"/>
  <c r="AI27" i="1"/>
  <c r="AH27" i="1"/>
  <c r="AG27" i="1"/>
  <c r="AR27" i="1"/>
  <c r="AS27" i="1"/>
  <c r="AT27" i="1"/>
  <c r="AU27" i="1"/>
  <c r="AV27" i="1"/>
  <c r="J27" i="1"/>
  <c r="L27" i="1"/>
  <c r="D27" i="1"/>
  <c r="AP26" i="1"/>
  <c r="AO26" i="1"/>
  <c r="AN26" i="1"/>
  <c r="AM26" i="1"/>
  <c r="AL26" i="1"/>
  <c r="AK26" i="1"/>
  <c r="AJ26" i="1"/>
  <c r="AI26" i="1"/>
  <c r="AH26" i="1"/>
  <c r="AG26" i="1"/>
  <c r="AR26" i="1" s="1"/>
  <c r="AS26" i="1" s="1"/>
  <c r="AT26" i="1" s="1"/>
  <c r="AU26" i="1" s="1"/>
  <c r="AV26" i="1" s="1"/>
  <c r="J26" i="1"/>
  <c r="L26" i="1" s="1"/>
  <c r="D26" i="1"/>
  <c r="AP25" i="1"/>
  <c r="AO25" i="1"/>
  <c r="AN25" i="1"/>
  <c r="AM25" i="1"/>
  <c r="AL25" i="1"/>
  <c r="AK25" i="1"/>
  <c r="AJ25" i="1"/>
  <c r="AI25" i="1"/>
  <c r="AH25" i="1"/>
  <c r="AG25" i="1"/>
  <c r="AQ25" i="1" s="1"/>
  <c r="AR25" i="1"/>
  <c r="AS25" i="1"/>
  <c r="AT25" i="1"/>
  <c r="AU25" i="1"/>
  <c r="AV25" i="1"/>
  <c r="J25" i="1"/>
  <c r="L25" i="1"/>
  <c r="D25" i="1"/>
  <c r="AP24" i="1"/>
  <c r="AO24" i="1"/>
  <c r="AN24" i="1"/>
  <c r="AM24" i="1"/>
  <c r="AL24" i="1"/>
  <c r="AK24" i="1"/>
  <c r="AJ24" i="1"/>
  <c r="AI24" i="1"/>
  <c r="AH24" i="1"/>
  <c r="AG24" i="1"/>
  <c r="AR24" i="1" s="1"/>
  <c r="AS24" i="1" s="1"/>
  <c r="AT24" i="1" s="1"/>
  <c r="AU24" i="1" s="1"/>
  <c r="AV24" i="1" s="1"/>
  <c r="J24" i="1"/>
  <c r="L24" i="1" s="1"/>
  <c r="D24" i="1"/>
  <c r="AP23" i="1"/>
  <c r="AO23" i="1"/>
  <c r="AN23" i="1"/>
  <c r="AM23" i="1"/>
  <c r="AL23" i="1"/>
  <c r="AK23" i="1"/>
  <c r="AJ23" i="1"/>
  <c r="AI23" i="1"/>
  <c r="AH23" i="1"/>
  <c r="AG23" i="1"/>
  <c r="AR23" i="1"/>
  <c r="AS23" i="1"/>
  <c r="AT23" i="1"/>
  <c r="AU23" i="1"/>
  <c r="AV23" i="1"/>
  <c r="J23" i="1"/>
  <c r="L23" i="1"/>
  <c r="D23" i="1"/>
  <c r="AP22" i="1"/>
  <c r="AO22" i="1"/>
  <c r="AN22" i="1"/>
  <c r="AM22" i="1"/>
  <c r="AL22" i="1"/>
  <c r="AK22" i="1"/>
  <c r="AJ22" i="1"/>
  <c r="AI22" i="1"/>
  <c r="AH22" i="1"/>
  <c r="AG22" i="1"/>
  <c r="AR22" i="1" s="1"/>
  <c r="AS22" i="1" s="1"/>
  <c r="AT22" i="1" s="1"/>
  <c r="AU22" i="1" s="1"/>
  <c r="AV22" i="1" s="1"/>
  <c r="J22" i="1"/>
  <c r="L22" i="1" s="1"/>
  <c r="D22" i="1"/>
  <c r="AP21" i="1"/>
  <c r="AO21" i="1"/>
  <c r="AN21" i="1"/>
  <c r="AM21" i="1"/>
  <c r="AL21" i="1"/>
  <c r="AK21" i="1"/>
  <c r="AJ21" i="1"/>
  <c r="AI21" i="1"/>
  <c r="AH21" i="1"/>
  <c r="AG21" i="1"/>
  <c r="AR21" i="1"/>
  <c r="AS21" i="1"/>
  <c r="AT21" i="1"/>
  <c r="AU21" i="1"/>
  <c r="AV21" i="1"/>
  <c r="J21" i="1"/>
  <c r="L21" i="1"/>
  <c r="D21" i="1"/>
  <c r="AP20" i="1"/>
  <c r="AO20" i="1"/>
  <c r="AN20" i="1"/>
  <c r="AM20" i="1"/>
  <c r="AL20" i="1"/>
  <c r="AK20" i="1"/>
  <c r="AJ20" i="1"/>
  <c r="AI20" i="1"/>
  <c r="AH20" i="1"/>
  <c r="AG20" i="1"/>
  <c r="AR20" i="1" s="1"/>
  <c r="AS20" i="1" s="1"/>
  <c r="AT20" i="1" s="1"/>
  <c r="AU20" i="1" s="1"/>
  <c r="AV20" i="1" s="1"/>
  <c r="J20" i="1"/>
  <c r="L20" i="1" s="1"/>
  <c r="D20" i="1"/>
  <c r="AP16" i="1"/>
  <c r="AO16" i="1"/>
  <c r="AN16" i="1"/>
  <c r="AM16" i="1"/>
  <c r="AL16" i="1"/>
  <c r="AK16" i="1"/>
  <c r="AJ16" i="1"/>
  <c r="AI16" i="1"/>
  <c r="AH16" i="1"/>
  <c r="AG16" i="1"/>
  <c r="AR16" i="1"/>
  <c r="AS16" i="1"/>
  <c r="AT16" i="1"/>
  <c r="AU16" i="1"/>
  <c r="AV16" i="1"/>
  <c r="J16" i="1"/>
  <c r="L16" i="1"/>
  <c r="F16" i="1"/>
  <c r="D16" i="1"/>
  <c r="AP15" i="1"/>
  <c r="AO15" i="1"/>
  <c r="AN15" i="1"/>
  <c r="AM15" i="1"/>
  <c r="AL15" i="1"/>
  <c r="AK15" i="1"/>
  <c r="AJ15" i="1"/>
  <c r="AI15" i="1"/>
  <c r="AH15" i="1"/>
  <c r="AG15" i="1"/>
  <c r="AR15" i="1"/>
  <c r="AS15" i="1"/>
  <c r="AT15" i="1"/>
  <c r="AU15" i="1"/>
  <c r="AV15" i="1"/>
  <c r="J15" i="1"/>
  <c r="L15" i="1"/>
  <c r="F15" i="1"/>
  <c r="D15" i="1"/>
  <c r="AP14" i="1"/>
  <c r="AO14" i="1"/>
  <c r="AN14" i="1"/>
  <c r="AM14" i="1"/>
  <c r="AL14" i="1"/>
  <c r="AK14" i="1"/>
  <c r="AJ14" i="1"/>
  <c r="AI14" i="1"/>
  <c r="AH14" i="1"/>
  <c r="AG14" i="1"/>
  <c r="AR14" i="1"/>
  <c r="AS14" i="1"/>
  <c r="AT14" i="1"/>
  <c r="AU14" i="1"/>
  <c r="AV14" i="1"/>
  <c r="J14" i="1"/>
  <c r="L14" i="1"/>
  <c r="F14" i="1"/>
  <c r="D14" i="1"/>
  <c r="AP13" i="1"/>
  <c r="AO13" i="1"/>
  <c r="AN13" i="1"/>
  <c r="AM13" i="1"/>
  <c r="AL13" i="1"/>
  <c r="AK13" i="1"/>
  <c r="AJ13" i="1"/>
  <c r="AI13" i="1"/>
  <c r="AH13" i="1"/>
  <c r="AG13" i="1"/>
  <c r="AR13" i="1"/>
  <c r="AS13" i="1"/>
  <c r="AT13" i="1"/>
  <c r="AU13" i="1"/>
  <c r="AV13" i="1"/>
  <c r="J13" i="1"/>
  <c r="L13" i="1"/>
  <c r="F13" i="1"/>
  <c r="D13" i="1"/>
  <c r="AP12" i="1"/>
  <c r="AO12" i="1"/>
  <c r="AN12" i="1"/>
  <c r="AM12" i="1"/>
  <c r="AL12" i="1"/>
  <c r="AK12" i="1"/>
  <c r="AJ12" i="1"/>
  <c r="AI12" i="1"/>
  <c r="AH12" i="1"/>
  <c r="AG12" i="1"/>
  <c r="AR12" i="1"/>
  <c r="AS12" i="1"/>
  <c r="AT12" i="1"/>
  <c r="AU12" i="1"/>
  <c r="AV12" i="1"/>
  <c r="J12" i="1"/>
  <c r="L12" i="1"/>
  <c r="F12" i="1"/>
  <c r="D12" i="1"/>
  <c r="AP11" i="1"/>
  <c r="AO11" i="1"/>
  <c r="AN11" i="1"/>
  <c r="AM11" i="1"/>
  <c r="AL11" i="1"/>
  <c r="AK11" i="1"/>
  <c r="AJ11" i="1"/>
  <c r="AI11" i="1"/>
  <c r="AH11" i="1"/>
  <c r="AG11" i="1"/>
  <c r="AR11" i="1"/>
  <c r="AS11" i="1"/>
  <c r="AT11" i="1"/>
  <c r="AU11" i="1"/>
  <c r="AV11" i="1"/>
  <c r="J11" i="1"/>
  <c r="L11" i="1"/>
  <c r="F11" i="1"/>
  <c r="D11" i="1"/>
  <c r="AP10" i="1"/>
  <c r="AO10" i="1"/>
  <c r="AN10" i="1"/>
  <c r="AM10" i="1"/>
  <c r="AL10" i="1"/>
  <c r="AK10" i="1"/>
  <c r="AJ10" i="1"/>
  <c r="AI10" i="1"/>
  <c r="AH10" i="1"/>
  <c r="AG10" i="1"/>
  <c r="AR10" i="1"/>
  <c r="AS10" i="1"/>
  <c r="AT10" i="1"/>
  <c r="AU10" i="1"/>
  <c r="AV10" i="1"/>
  <c r="J10" i="1"/>
  <c r="L10" i="1"/>
  <c r="F10" i="1"/>
  <c r="D10" i="1"/>
  <c r="AP9" i="1"/>
  <c r="AO9" i="1"/>
  <c r="AN9" i="1"/>
  <c r="AM9" i="1"/>
  <c r="AL9" i="1"/>
  <c r="AK9" i="1"/>
  <c r="AJ9" i="1"/>
  <c r="AI9" i="1"/>
  <c r="AH9" i="1"/>
  <c r="AG9" i="1"/>
  <c r="AR9" i="1"/>
  <c r="AS9" i="1"/>
  <c r="AT9" i="1"/>
  <c r="AU9" i="1"/>
  <c r="AV9" i="1"/>
  <c r="J9" i="1"/>
  <c r="L9" i="1"/>
  <c r="F9" i="1"/>
  <c r="D9" i="1"/>
  <c r="AP8" i="1"/>
  <c r="AO8" i="1"/>
  <c r="AN8" i="1"/>
  <c r="AM8" i="1"/>
  <c r="AL8" i="1"/>
  <c r="AK8" i="1"/>
  <c r="AJ8" i="1"/>
  <c r="AI8" i="1"/>
  <c r="AH8" i="1"/>
  <c r="AG8" i="1"/>
  <c r="AR8" i="1"/>
  <c r="AS8" i="1"/>
  <c r="AT8" i="1"/>
  <c r="AU8" i="1"/>
  <c r="AV8" i="1"/>
  <c r="J8" i="1"/>
  <c r="L8" i="1"/>
  <c r="F8" i="1"/>
  <c r="D8" i="1"/>
  <c r="AP7" i="1"/>
  <c r="AO7" i="1"/>
  <c r="AN7" i="1"/>
  <c r="AM7" i="1"/>
  <c r="AL7" i="1"/>
  <c r="AK7" i="1"/>
  <c r="AJ7" i="1"/>
  <c r="AI7" i="1"/>
  <c r="AH7" i="1"/>
  <c r="AG7" i="1"/>
  <c r="AR7" i="1"/>
  <c r="AS7" i="1"/>
  <c r="AT7" i="1"/>
  <c r="AU7" i="1"/>
  <c r="AV7" i="1"/>
  <c r="J7" i="1"/>
  <c r="L7" i="1"/>
  <c r="F7" i="1"/>
  <c r="D7" i="1"/>
  <c r="AP6" i="1"/>
  <c r="AO6" i="1"/>
  <c r="AN6" i="1"/>
  <c r="AM6" i="1"/>
  <c r="AL6" i="1"/>
  <c r="AK6" i="1"/>
  <c r="AJ6" i="1"/>
  <c r="AI6" i="1"/>
  <c r="AH6" i="1"/>
  <c r="AG6" i="1"/>
  <c r="AR6" i="1"/>
  <c r="AS6" i="1"/>
  <c r="AT6" i="1"/>
  <c r="AU6" i="1"/>
  <c r="AV6" i="1"/>
  <c r="J6" i="1"/>
  <c r="L6" i="1"/>
  <c r="F6" i="1"/>
  <c r="D6" i="1"/>
  <c r="AP5" i="1"/>
  <c r="AO5" i="1"/>
  <c r="AN5" i="1"/>
  <c r="AM5" i="1"/>
  <c r="AL5" i="1"/>
  <c r="AK5" i="1"/>
  <c r="AJ5" i="1"/>
  <c r="AI5" i="1"/>
  <c r="AH5" i="1"/>
  <c r="AG5" i="1"/>
  <c r="AR5" i="1"/>
  <c r="AS5" i="1"/>
  <c r="AT5" i="1"/>
  <c r="AU5" i="1"/>
  <c r="AV5" i="1"/>
  <c r="J5" i="1"/>
  <c r="L5" i="1"/>
  <c r="F5" i="1"/>
  <c r="D5" i="1"/>
  <c r="D116" i="1"/>
  <c r="AQ57" i="1"/>
  <c r="K117" i="1"/>
  <c r="J117" i="1"/>
  <c r="L117" i="1"/>
  <c r="D119" i="1"/>
  <c r="AQ117" i="1"/>
  <c r="AB133" i="3"/>
  <c r="AA133" i="3"/>
  <c r="AB132" i="3"/>
  <c r="AA132" i="3"/>
  <c r="AB131" i="3"/>
  <c r="AA131" i="3"/>
  <c r="AB130" i="3"/>
  <c r="AA130" i="3"/>
  <c r="AB129" i="3"/>
  <c r="AA129" i="3"/>
  <c r="AB128" i="3"/>
  <c r="AA128" i="3"/>
  <c r="AB127" i="3"/>
  <c r="AA127" i="3"/>
  <c r="AB126" i="3"/>
  <c r="AA126" i="3"/>
  <c r="AB125" i="3"/>
  <c r="AA125" i="3"/>
  <c r="AB124" i="3"/>
  <c r="AA124" i="3"/>
  <c r="AB123" i="3"/>
  <c r="AA123" i="3"/>
  <c r="AB122" i="3"/>
  <c r="AA122" i="3"/>
  <c r="AB121" i="3"/>
  <c r="AA121" i="3"/>
  <c r="AB120" i="3"/>
  <c r="AA120" i="3"/>
  <c r="AB119" i="3"/>
  <c r="AA119" i="3"/>
  <c r="AB118" i="3"/>
  <c r="AA118" i="3"/>
  <c r="AB117" i="3"/>
  <c r="AA117" i="3"/>
  <c r="AB116" i="3"/>
  <c r="AA116" i="3"/>
  <c r="AB115" i="3"/>
  <c r="AA115" i="3"/>
  <c r="AB114" i="3"/>
  <c r="AA114" i="3"/>
  <c r="AB113" i="3"/>
  <c r="AA113" i="3"/>
  <c r="AB112" i="3"/>
  <c r="AA112" i="3"/>
  <c r="AB111" i="3"/>
  <c r="AA111" i="3"/>
  <c r="AB110" i="3"/>
  <c r="AA110" i="3"/>
  <c r="AB109" i="3"/>
  <c r="AA109" i="3"/>
  <c r="AB108" i="3"/>
  <c r="AA108" i="3"/>
  <c r="AB107" i="3"/>
  <c r="AA107" i="3"/>
  <c r="AB106" i="3"/>
  <c r="AA106" i="3"/>
  <c r="AB105" i="3"/>
  <c r="AA105" i="3"/>
  <c r="AB104" i="3"/>
  <c r="AA104" i="3"/>
  <c r="AB103" i="3"/>
  <c r="AA103" i="3"/>
  <c r="AB102" i="3"/>
  <c r="AA102" i="3"/>
  <c r="AB101" i="3"/>
  <c r="AA101" i="3"/>
  <c r="AB100" i="3"/>
  <c r="AA100" i="3"/>
  <c r="AB99" i="3"/>
  <c r="AA99" i="3"/>
  <c r="AB98" i="3"/>
  <c r="AA98" i="3"/>
  <c r="AB97" i="3"/>
  <c r="AA97" i="3"/>
  <c r="AB96" i="3"/>
  <c r="AA96" i="3"/>
  <c r="AB95" i="3"/>
  <c r="AA95" i="3"/>
  <c r="AB94" i="3"/>
  <c r="AA94" i="3"/>
  <c r="AB93" i="3"/>
  <c r="AA93" i="3"/>
  <c r="AB92" i="3"/>
  <c r="AA92" i="3"/>
  <c r="AB91" i="3"/>
  <c r="AA91" i="3"/>
  <c r="AB90" i="3"/>
  <c r="AA90" i="3"/>
  <c r="AB89" i="3"/>
  <c r="AA89" i="3"/>
  <c r="AB88" i="3"/>
  <c r="AA88" i="3"/>
  <c r="AB87" i="3"/>
  <c r="AA87" i="3"/>
  <c r="AB86" i="3"/>
  <c r="AA86" i="3"/>
  <c r="AB85" i="3"/>
  <c r="AA85" i="3"/>
  <c r="AB84" i="3"/>
  <c r="AA84" i="3"/>
  <c r="AB83" i="3"/>
  <c r="AA83" i="3"/>
  <c r="AB82" i="3"/>
  <c r="AA82" i="3"/>
  <c r="AB81" i="3"/>
  <c r="AA81" i="3"/>
  <c r="AB80" i="3"/>
  <c r="AA80" i="3"/>
  <c r="AB79" i="3"/>
  <c r="AA79" i="3"/>
  <c r="AB78" i="3"/>
  <c r="AA78" i="3"/>
  <c r="AB77" i="3"/>
  <c r="AA77" i="3"/>
  <c r="AB76" i="3"/>
  <c r="AA76" i="3"/>
  <c r="AB75" i="3"/>
  <c r="AA75" i="3"/>
  <c r="AB74" i="3"/>
  <c r="AA74" i="3"/>
  <c r="AB73" i="3"/>
  <c r="AA73" i="3"/>
  <c r="AB72" i="3"/>
  <c r="AA72" i="3"/>
  <c r="AB71" i="3"/>
  <c r="AA71" i="3"/>
  <c r="AB70" i="3"/>
  <c r="AA70" i="3"/>
  <c r="AB69" i="3"/>
  <c r="AA69" i="3"/>
  <c r="AB68" i="3"/>
  <c r="AA68" i="3"/>
  <c r="AB67" i="3"/>
  <c r="AA67" i="3"/>
  <c r="AB66" i="3"/>
  <c r="AA66" i="3"/>
  <c r="AB65" i="3"/>
  <c r="AA65" i="3"/>
  <c r="AB64" i="3"/>
  <c r="AA64" i="3"/>
  <c r="AB63" i="3"/>
  <c r="AA63" i="3"/>
  <c r="AB62" i="3"/>
  <c r="AA62" i="3"/>
  <c r="AB61" i="3"/>
  <c r="AA61" i="3"/>
  <c r="AB60" i="3"/>
  <c r="AA60" i="3"/>
  <c r="AB59" i="3"/>
  <c r="AA59" i="3"/>
  <c r="AB58" i="3"/>
  <c r="AA58" i="3"/>
  <c r="AB57" i="3"/>
  <c r="AA57" i="3"/>
  <c r="AB56" i="3"/>
  <c r="AA56" i="3"/>
  <c r="AB55" i="3"/>
  <c r="AA55" i="3"/>
  <c r="AB54" i="3"/>
  <c r="AA54" i="3"/>
  <c r="AB53" i="3"/>
  <c r="AA53" i="3"/>
  <c r="AB52" i="3"/>
  <c r="AA52" i="3"/>
  <c r="AB51" i="3"/>
  <c r="AA51" i="3"/>
  <c r="AB50" i="3"/>
  <c r="AA50" i="3"/>
  <c r="AB49" i="3"/>
  <c r="AA49" i="3"/>
  <c r="AB48" i="3"/>
  <c r="AA48" i="3"/>
  <c r="AB47" i="3"/>
  <c r="AA47" i="3"/>
  <c r="AB46" i="3"/>
  <c r="AA46" i="3"/>
  <c r="AB45" i="3"/>
  <c r="AA45" i="3"/>
  <c r="AB44" i="3"/>
  <c r="AA44" i="3"/>
  <c r="AB43" i="3"/>
  <c r="AA43" i="3"/>
  <c r="AB42" i="3"/>
  <c r="AA42" i="3"/>
  <c r="AB41" i="3"/>
  <c r="AA41" i="3"/>
  <c r="AB40" i="3"/>
  <c r="AA40" i="3"/>
  <c r="AB39" i="3"/>
  <c r="AA39" i="3"/>
  <c r="AB38" i="3"/>
  <c r="AA38" i="3"/>
  <c r="AB37" i="3"/>
  <c r="AA37" i="3"/>
  <c r="AB36" i="3"/>
  <c r="AA36" i="3"/>
  <c r="AB35" i="3"/>
  <c r="AA35" i="3"/>
  <c r="AB34" i="3"/>
  <c r="AA34" i="3"/>
  <c r="AB33" i="3"/>
  <c r="AA33" i="3"/>
  <c r="AB32" i="3"/>
  <c r="AA32" i="3"/>
  <c r="AB31" i="3"/>
  <c r="AA31" i="3"/>
  <c r="AB30" i="3"/>
  <c r="AA30" i="3"/>
  <c r="AB29" i="3"/>
  <c r="AA29" i="3"/>
  <c r="AB28" i="3"/>
  <c r="AA28" i="3"/>
  <c r="AB27" i="3"/>
  <c r="AA27" i="3"/>
  <c r="AB26" i="3"/>
  <c r="AA26" i="3"/>
  <c r="AB25" i="3"/>
  <c r="AA25" i="3"/>
  <c r="AB24" i="3"/>
  <c r="AA24" i="3"/>
  <c r="AB23" i="3"/>
  <c r="AA23" i="3"/>
  <c r="AB22" i="3"/>
  <c r="AA22" i="3"/>
  <c r="AB21" i="3"/>
  <c r="AA21" i="3"/>
  <c r="AB20" i="3"/>
  <c r="AA20" i="3"/>
  <c r="AB19" i="3"/>
  <c r="AA19" i="3"/>
  <c r="AB18" i="3"/>
  <c r="AA18" i="3"/>
  <c r="AB17" i="3"/>
  <c r="AA17" i="3"/>
  <c r="AB16" i="3"/>
  <c r="AA16" i="3"/>
  <c r="AB15" i="3"/>
  <c r="AA15" i="3"/>
  <c r="AB14" i="3"/>
  <c r="AA14" i="3"/>
  <c r="AB13" i="3"/>
  <c r="AA13" i="3"/>
  <c r="AB12" i="3"/>
  <c r="AA12" i="3"/>
  <c r="AB11" i="3"/>
  <c r="AA11" i="3"/>
  <c r="AB10" i="3"/>
  <c r="AA10" i="3"/>
  <c r="AB9" i="3"/>
  <c r="AA9" i="3"/>
  <c r="AB8" i="3"/>
  <c r="AA8" i="3"/>
  <c r="AB7" i="3"/>
  <c r="AA7" i="3"/>
  <c r="AA6" i="3"/>
  <c r="AE6" i="3" s="1"/>
  <c r="AG6" i="3" s="1"/>
  <c r="AI6" i="3"/>
  <c r="AA5" i="3"/>
  <c r="AA4" i="3"/>
  <c r="AF6" i="3"/>
  <c r="AE15" i="3"/>
  <c r="AG15" i="3"/>
  <c r="AE23" i="3"/>
  <c r="AE100" i="3"/>
  <c r="AG100" i="3"/>
  <c r="AE119" i="3"/>
  <c r="AF119" i="3"/>
  <c r="AE116" i="3"/>
  <c r="AG116" i="3"/>
  <c r="AE124" i="3"/>
  <c r="AG124" i="3"/>
  <c r="AE12" i="3"/>
  <c r="AG12" i="3"/>
  <c r="AE60" i="3"/>
  <c r="AG60" i="3"/>
  <c r="AE20" i="3"/>
  <c r="AG20" i="3"/>
  <c r="AG23" i="3"/>
  <c r="AF23" i="3"/>
  <c r="AE108" i="3"/>
  <c r="AG108" i="3"/>
  <c r="AE17" i="3"/>
  <c r="AG17" i="3"/>
  <c r="AE42" i="3"/>
  <c r="AE102" i="3"/>
  <c r="AE21" i="3"/>
  <c r="AE35" i="3"/>
  <c r="AE46" i="3"/>
  <c r="AG46" i="3"/>
  <c r="AE50" i="3"/>
  <c r="AE61" i="3"/>
  <c r="AG61" i="3"/>
  <c r="AE65" i="3"/>
  <c r="AF65" i="3"/>
  <c r="AE99" i="3"/>
  <c r="AE110" i="3"/>
  <c r="AE114" i="3"/>
  <c r="AE125" i="3"/>
  <c r="AE129" i="3"/>
  <c r="AF129" i="3"/>
  <c r="AE133" i="3"/>
  <c r="AF133" i="3"/>
  <c r="AE38" i="3"/>
  <c r="AG38" i="3"/>
  <c r="AE57" i="3"/>
  <c r="AG57" i="3"/>
  <c r="AE117" i="3"/>
  <c r="AE18" i="3"/>
  <c r="AE43" i="3"/>
  <c r="AE54" i="3"/>
  <c r="AE58" i="3"/>
  <c r="AG58" i="3"/>
  <c r="AE69" i="3"/>
  <c r="AE107" i="3"/>
  <c r="AG107" i="3"/>
  <c r="AE118" i="3"/>
  <c r="AG118" i="3"/>
  <c r="AE122" i="3"/>
  <c r="AE22" i="3"/>
  <c r="AE51" i="3"/>
  <c r="AE62" i="3"/>
  <c r="AE66" i="3"/>
  <c r="AF66" i="3"/>
  <c r="AE77" i="3"/>
  <c r="AE115" i="3"/>
  <c r="AF115" i="3"/>
  <c r="AE126" i="3"/>
  <c r="AG126" i="3"/>
  <c r="AE130" i="3"/>
  <c r="AF130" i="3"/>
  <c r="AE19" i="3"/>
  <c r="AE25" i="3"/>
  <c r="AE59" i="3"/>
  <c r="AE70" i="3"/>
  <c r="AE74" i="3"/>
  <c r="AE85" i="3"/>
  <c r="AF85" i="3"/>
  <c r="AE123" i="3"/>
  <c r="AG123" i="3"/>
  <c r="AE13" i="3"/>
  <c r="AE29" i="3"/>
  <c r="AE33" i="3"/>
  <c r="AE67" i="3"/>
  <c r="AE78" i="3"/>
  <c r="AG78" i="3"/>
  <c r="AE82" i="3"/>
  <c r="AE93" i="3"/>
  <c r="AG93" i="3"/>
  <c r="AE97" i="3"/>
  <c r="AG97" i="3"/>
  <c r="AE127" i="3"/>
  <c r="AF127" i="3"/>
  <c r="AE131" i="3"/>
  <c r="AF131" i="3"/>
  <c r="AE10" i="3"/>
  <c r="AE26" i="3"/>
  <c r="AE37" i="3"/>
  <c r="AG37" i="3"/>
  <c r="AE41" i="3"/>
  <c r="AE75" i="3"/>
  <c r="AG75" i="3"/>
  <c r="AE86" i="3"/>
  <c r="AF86" i="3"/>
  <c r="AE90" i="3"/>
  <c r="AE101" i="3"/>
  <c r="AE105" i="3"/>
  <c r="AE11" i="3"/>
  <c r="AE27" i="3"/>
  <c r="AG27" i="3"/>
  <c r="AE53" i="3"/>
  <c r="AE91" i="3"/>
  <c r="AG91" i="3"/>
  <c r="AE106" i="3"/>
  <c r="AF106" i="3"/>
  <c r="AE14" i="3"/>
  <c r="AE30" i="3"/>
  <c r="AE34" i="3"/>
  <c r="AE45" i="3"/>
  <c r="AF45" i="3"/>
  <c r="AE49" i="3"/>
  <c r="AG49" i="3"/>
  <c r="AE83" i="3"/>
  <c r="AE94" i="3"/>
  <c r="AF94" i="3"/>
  <c r="AE98" i="3"/>
  <c r="AF98" i="3"/>
  <c r="AE109" i="3"/>
  <c r="AE128" i="3"/>
  <c r="AF128" i="3"/>
  <c r="AE132" i="3"/>
  <c r="AF132" i="3"/>
  <c r="AG22" i="3"/>
  <c r="AF22" i="3"/>
  <c r="AG51" i="3"/>
  <c r="AF51" i="3"/>
  <c r="AG62" i="3"/>
  <c r="AF62" i="3"/>
  <c r="AG77" i="3"/>
  <c r="AF77" i="3"/>
  <c r="AG45" i="3"/>
  <c r="AF18" i="3"/>
  <c r="AG18" i="3"/>
  <c r="AG43" i="3"/>
  <c r="AF43" i="3"/>
  <c r="AG54" i="3"/>
  <c r="AF54" i="3"/>
  <c r="AF58" i="3"/>
  <c r="AG69" i="3"/>
  <c r="AF69" i="3"/>
  <c r="AG19" i="3"/>
  <c r="AF19" i="3"/>
  <c r="AG25" i="3"/>
  <c r="AF25" i="3"/>
  <c r="AG59" i="3"/>
  <c r="AF59" i="3"/>
  <c r="AG70" i="3"/>
  <c r="AF70" i="3"/>
  <c r="AF74" i="3"/>
  <c r="AG74" i="3"/>
  <c r="AG119" i="3"/>
  <c r="AG13" i="3"/>
  <c r="AF13" i="3"/>
  <c r="AG29" i="3"/>
  <c r="AF29" i="3"/>
  <c r="AG33" i="3"/>
  <c r="AF33" i="3"/>
  <c r="AG67" i="3"/>
  <c r="AF67" i="3"/>
  <c r="AF78" i="3"/>
  <c r="AF82" i="3"/>
  <c r="AG82" i="3"/>
  <c r="AF10" i="3"/>
  <c r="AG10" i="3"/>
  <c r="AF26" i="3"/>
  <c r="AG26" i="3"/>
  <c r="AF37" i="3"/>
  <c r="AG41" i="3"/>
  <c r="AF41" i="3"/>
  <c r="AF90" i="3"/>
  <c r="AG90" i="3"/>
  <c r="AG101" i="3"/>
  <c r="AF101" i="3"/>
  <c r="AG105" i="3"/>
  <c r="AF105" i="3"/>
  <c r="AG11" i="3"/>
  <c r="AF11" i="3"/>
  <c r="AF27" i="3"/>
  <c r="AF42" i="3"/>
  <c r="AG42" i="3"/>
  <c r="AG53" i="3"/>
  <c r="AF53" i="3"/>
  <c r="AG102" i="3"/>
  <c r="AF102" i="3"/>
  <c r="AG117" i="3"/>
  <c r="AF117" i="3"/>
  <c r="AG14" i="3"/>
  <c r="AF14" i="3"/>
  <c r="AG30" i="3"/>
  <c r="AF30" i="3"/>
  <c r="AF34" i="3"/>
  <c r="AG34" i="3"/>
  <c r="AF49" i="3"/>
  <c r="AG83" i="3"/>
  <c r="AF83" i="3"/>
  <c r="AG109" i="3"/>
  <c r="AF109" i="3"/>
  <c r="AG21" i="3"/>
  <c r="AF21" i="3"/>
  <c r="AG35" i="3"/>
  <c r="AF35" i="3"/>
  <c r="AF50" i="3"/>
  <c r="AG50" i="3"/>
  <c r="AF61" i="3"/>
  <c r="AG99" i="3"/>
  <c r="AF99" i="3"/>
  <c r="AG110" i="3"/>
  <c r="AF110" i="3"/>
  <c r="AF114" i="3"/>
  <c r="AG114" i="3"/>
  <c r="AG125" i="3"/>
  <c r="AF125" i="3"/>
  <c r="AF122" i="3"/>
  <c r="AG122" i="3"/>
  <c r="AF20" i="3"/>
  <c r="AF60" i="3"/>
  <c r="AE73" i="3"/>
  <c r="AE81" i="3"/>
  <c r="AE89" i="3"/>
  <c r="AF100" i="3"/>
  <c r="AF108" i="3"/>
  <c r="AE113" i="3"/>
  <c r="AF116" i="3"/>
  <c r="AE121" i="3"/>
  <c r="AE32" i="3"/>
  <c r="AE40" i="3"/>
  <c r="AE48" i="3"/>
  <c r="AE56" i="3"/>
  <c r="AE64" i="3"/>
  <c r="AE72" i="3"/>
  <c r="AE80" i="3"/>
  <c r="AE88" i="3"/>
  <c r="AE96" i="3"/>
  <c r="AE104" i="3"/>
  <c r="AE112" i="3"/>
  <c r="AE120" i="3"/>
  <c r="AE31" i="3"/>
  <c r="AE39" i="3"/>
  <c r="AE47" i="3"/>
  <c r="AE55" i="3"/>
  <c r="AE63" i="3"/>
  <c r="AE71" i="3"/>
  <c r="AE79" i="3"/>
  <c r="AE87" i="3"/>
  <c r="AE95" i="3"/>
  <c r="AE103" i="3"/>
  <c r="AE111" i="3"/>
  <c r="AG65" i="3"/>
  <c r="AF38" i="3"/>
  <c r="AF15" i="3"/>
  <c r="AF91" i="3"/>
  <c r="AG86" i="3"/>
  <c r="AG85" i="3"/>
  <c r="AG66" i="3"/>
  <c r="AF46" i="3"/>
  <c r="AG94" i="3"/>
  <c r="AF75" i="3"/>
  <c r="AF12" i="3"/>
  <c r="AF126" i="3"/>
  <c r="AG115" i="3"/>
  <c r="AF118" i="3"/>
  <c r="AF57" i="3"/>
  <c r="AF97" i="3"/>
  <c r="AF124" i="3"/>
  <c r="AF107" i="3"/>
  <c r="AG98" i="3"/>
  <c r="AG106" i="3"/>
  <c r="AF17" i="3"/>
  <c r="AF93" i="3"/>
  <c r="AF123" i="3"/>
  <c r="AF47" i="3"/>
  <c r="AG47" i="3"/>
  <c r="AG88" i="3"/>
  <c r="AF88" i="3"/>
  <c r="AG64" i="3"/>
  <c r="AF64" i="3"/>
  <c r="AF103" i="3"/>
  <c r="AG103" i="3"/>
  <c r="AF39" i="3"/>
  <c r="AG39" i="3"/>
  <c r="AG95" i="3"/>
  <c r="AF95" i="3"/>
  <c r="AF31" i="3"/>
  <c r="AG31" i="3"/>
  <c r="AG80" i="3"/>
  <c r="AF80" i="3"/>
  <c r="AG121" i="3"/>
  <c r="AF121" i="3"/>
  <c r="AG81" i="3"/>
  <c r="AF81" i="3"/>
  <c r="AG113" i="3"/>
  <c r="AF113" i="3"/>
  <c r="AF71" i="3"/>
  <c r="AG71" i="3"/>
  <c r="AG56" i="3"/>
  <c r="AF56" i="3"/>
  <c r="AF63" i="3"/>
  <c r="AG63" i="3"/>
  <c r="AG112" i="3"/>
  <c r="AF112" i="3"/>
  <c r="AG48" i="3"/>
  <c r="AF48" i="3"/>
  <c r="AF87" i="3"/>
  <c r="AG87" i="3"/>
  <c r="AF79" i="3"/>
  <c r="AG79" i="3"/>
  <c r="AG120" i="3"/>
  <c r="AF120" i="3"/>
  <c r="AF55" i="3"/>
  <c r="AG55" i="3"/>
  <c r="AG104" i="3"/>
  <c r="AF104" i="3"/>
  <c r="AG40" i="3"/>
  <c r="AF40" i="3"/>
  <c r="AG72" i="3"/>
  <c r="AF72" i="3"/>
  <c r="AG73" i="3"/>
  <c r="AF73" i="3"/>
  <c r="AF111" i="3"/>
  <c r="AG111" i="3"/>
  <c r="AG96" i="3"/>
  <c r="AF96" i="3"/>
  <c r="AG32" i="3"/>
  <c r="AF32" i="3"/>
  <c r="AG89" i="3"/>
  <c r="AF89" i="3"/>
  <c r="AE92" i="3" l="1"/>
  <c r="AE84" i="3"/>
  <c r="AE76" i="3"/>
  <c r="AE68" i="3"/>
  <c r="AE52" i="3"/>
  <c r="AE44" i="3"/>
  <c r="AE36" i="3"/>
  <c r="AE28" i="3"/>
  <c r="AE24" i="3"/>
  <c r="AE16" i="3"/>
  <c r="AE8" i="3"/>
  <c r="AQ5" i="1"/>
  <c r="AQ6" i="1"/>
  <c r="AQ7" i="1"/>
  <c r="AQ8" i="1"/>
  <c r="AQ9" i="1"/>
  <c r="AQ10" i="1"/>
  <c r="AQ11" i="1"/>
  <c r="AQ12" i="1"/>
  <c r="AQ13" i="1"/>
  <c r="AQ14" i="1"/>
  <c r="AQ15" i="1"/>
  <c r="AQ16" i="1"/>
  <c r="AQ20" i="1"/>
  <c r="AQ21" i="1"/>
  <c r="AQ22" i="1"/>
  <c r="AQ23" i="1"/>
  <c r="AQ24" i="1"/>
  <c r="AQ26" i="1"/>
  <c r="AQ27" i="1"/>
  <c r="AQ28" i="1"/>
  <c r="AQ29" i="1"/>
  <c r="AQ30" i="1"/>
  <c r="AQ31" i="1"/>
  <c r="AQ32" i="1"/>
  <c r="AQ34" i="1"/>
  <c r="AQ35" i="1"/>
  <c r="AQ38" i="1"/>
  <c r="AQ39" i="1"/>
  <c r="AQ40" i="1"/>
  <c r="AQ41" i="1"/>
  <c r="AQ42" i="1"/>
  <c r="AQ43" i="1"/>
  <c r="AQ44" i="1"/>
  <c r="AQ45" i="1"/>
  <c r="AQ46" i="1"/>
  <c r="AQ48" i="1"/>
  <c r="AQ49" i="1"/>
  <c r="AQ52" i="1"/>
  <c r="AQ53" i="1"/>
  <c r="AQ54" i="1"/>
  <c r="AQ55" i="1"/>
  <c r="AQ56" i="1"/>
  <c r="AQ58" i="1"/>
  <c r="AQ59" i="1"/>
  <c r="AQ60" i="1"/>
  <c r="AQ61" i="1"/>
  <c r="AQ62" i="1"/>
  <c r="AQ63" i="1"/>
  <c r="AS66" i="1"/>
  <c r="AT66" i="1" s="1"/>
  <c r="AU66" i="1" s="1"/>
  <c r="AV66" i="1" s="1"/>
  <c r="AQ66" i="1"/>
  <c r="AQ67" i="1"/>
  <c r="AQ68" i="1"/>
  <c r="AQ69" i="1"/>
  <c r="AS70" i="1"/>
  <c r="AT70" i="1" s="1"/>
  <c r="AU70" i="1" s="1"/>
  <c r="AV70" i="1" s="1"/>
  <c r="AQ70" i="1"/>
  <c r="AQ74" i="1"/>
  <c r="AQ76" i="1"/>
  <c r="AQ78" i="1"/>
  <c r="AQ82" i="1"/>
  <c r="AQ83" i="1"/>
  <c r="AQ84" i="1"/>
  <c r="AQ86" i="1"/>
  <c r="AQ87" i="1"/>
  <c r="AQ88" i="1"/>
  <c r="AQ89" i="1"/>
  <c r="AQ90" i="1"/>
  <c r="AQ92" i="1"/>
  <c r="AQ116" i="1"/>
  <c r="K118" i="1"/>
  <c r="J118" i="1" s="1"/>
  <c r="L118" i="1" s="1"/>
  <c r="D118" i="1"/>
  <c r="AQ118" i="1"/>
  <c r="AQ119" i="1"/>
  <c r="AQ96" i="1"/>
  <c r="AQ97" i="1"/>
  <c r="AQ98" i="1"/>
  <c r="AQ99" i="1"/>
  <c r="AQ100" i="1"/>
  <c r="AQ101" i="1"/>
  <c r="AQ102" i="1"/>
  <c r="AQ103" i="1"/>
  <c r="AQ105" i="1"/>
  <c r="AQ106" i="1"/>
  <c r="AQ107" i="1"/>
  <c r="AQ108" i="1"/>
  <c r="AQ109" i="1"/>
  <c r="AQ110" i="1"/>
  <c r="AQ112" i="1"/>
  <c r="AQ113" i="1"/>
  <c r="AQ114" i="1"/>
  <c r="AQ122" i="1"/>
  <c r="AQ123" i="1"/>
  <c r="AQ124" i="1"/>
  <c r="AQ125" i="1"/>
  <c r="AQ126" i="1"/>
  <c r="AQ127" i="1"/>
  <c r="AQ128" i="1"/>
  <c r="AQ129" i="1"/>
  <c r="AQ130" i="1"/>
  <c r="AQ131" i="1"/>
  <c r="AQ132" i="1"/>
  <c r="AQ133" i="1"/>
  <c r="P6" i="3"/>
  <c r="O6" i="3"/>
  <c r="AG8" i="3" l="1"/>
  <c r="AF8" i="3"/>
  <c r="AG16" i="3"/>
  <c r="AF16" i="3"/>
  <c r="AG24" i="3"/>
  <c r="AF24" i="3"/>
  <c r="AG28" i="3"/>
  <c r="AF28" i="3"/>
  <c r="AG36" i="3"/>
  <c r="AF36" i="3"/>
  <c r="AG44" i="3"/>
  <c r="AF44" i="3"/>
  <c r="AG52" i="3"/>
  <c r="AF52" i="3"/>
  <c r="AG68" i="3"/>
  <c r="AF68" i="3"/>
  <c r="AG76" i="3"/>
  <c r="AF76" i="3"/>
  <c r="AG84" i="3"/>
  <c r="AF84" i="3"/>
  <c r="AG92" i="3"/>
  <c r="AF92" i="3"/>
</calcChain>
</file>

<file path=xl/sharedStrings.xml><?xml version="1.0" encoding="utf-8"?>
<sst xmlns="http://schemas.openxmlformats.org/spreadsheetml/2006/main" count="1411" uniqueCount="530">
  <si>
    <t xml:space="preserve">American Mineralogist: November 2020 Deposit AM-20-117402 </t>
  </si>
  <si>
    <t xml:space="preserve">BORISOVA ET AL.: ZIRCON IN ASTHENOSPHERE AND LITHOSPHERE </t>
  </si>
  <si>
    <t>DataSet/Point</t>
  </si>
  <si>
    <t>Comment</t>
  </si>
  <si>
    <t>Na2O</t>
  </si>
  <si>
    <t>Al2O3</t>
  </si>
  <si>
    <t>SiO2</t>
  </si>
  <si>
    <t>K2O</t>
  </si>
  <si>
    <t>CaO</t>
  </si>
  <si>
    <t>MnO</t>
  </si>
  <si>
    <t>FeO</t>
  </si>
  <si>
    <t>MgO</t>
  </si>
  <si>
    <t>TiO2</t>
  </si>
  <si>
    <t>Cr2O3</t>
  </si>
  <si>
    <t>ZrO2</t>
  </si>
  <si>
    <t>Zr, ppm</t>
  </si>
  <si>
    <t>Average</t>
  </si>
  <si>
    <t>Std</t>
  </si>
  <si>
    <t>HfO2</t>
  </si>
  <si>
    <t>Total</t>
  </si>
  <si>
    <t>X</t>
  </si>
  <si>
    <t>Y</t>
  </si>
  <si>
    <t>Z</t>
  </si>
  <si>
    <t>Distance (ｵ)</t>
  </si>
  <si>
    <t>Mean Z</t>
  </si>
  <si>
    <t>Point#</t>
  </si>
  <si>
    <t>Date</t>
  </si>
  <si>
    <t>microns</t>
  </si>
  <si>
    <t>microns JF (calc)</t>
  </si>
  <si>
    <t>SF effect JF (calc)</t>
  </si>
  <si>
    <t>1-Cx/Co</t>
  </si>
  <si>
    <t>erf (1-Cx/Co)</t>
  </si>
  <si>
    <t>erf-1 (1-Cx/Co)</t>
  </si>
  <si>
    <t xml:space="preserve">10 / 1 , </t>
  </si>
  <si>
    <t>ZR1-L1</t>
  </si>
  <si>
    <t>Cs (zircon)</t>
  </si>
  <si>
    <t xml:space="preserve">10 / 2 , </t>
  </si>
  <si>
    <t xml:space="preserve">10 / 3 , </t>
  </si>
  <si>
    <r>
      <t>C</t>
    </r>
    <r>
      <rPr>
        <b/>
        <i/>
        <vertAlign val="subscript"/>
        <sz val="10"/>
        <color indexed="8"/>
        <rFont val="Times New Roman"/>
        <family val="1"/>
      </rPr>
      <t>O</t>
    </r>
  </si>
  <si>
    <t xml:space="preserve">10 / 4 , </t>
  </si>
  <si>
    <r>
      <t>C</t>
    </r>
    <r>
      <rPr>
        <b/>
        <vertAlign val="subscript"/>
        <sz val="10"/>
        <color indexed="8"/>
        <rFont val="Times New Roman"/>
        <family val="1"/>
      </rPr>
      <t>x</t>
    </r>
  </si>
  <si>
    <t xml:space="preserve">10 / 5 , </t>
  </si>
  <si>
    <t xml:space="preserve">10 / 6 , </t>
  </si>
  <si>
    <t>fluctuation?</t>
  </si>
  <si>
    <t xml:space="preserve">10 / 7 , </t>
  </si>
  <si>
    <t xml:space="preserve">10 / 8 , </t>
  </si>
  <si>
    <t xml:space="preserve">10 / 9 , </t>
  </si>
  <si>
    <t xml:space="preserve">10 / 10 , </t>
  </si>
  <si>
    <t xml:space="preserve">10 / 11 , </t>
  </si>
  <si>
    <t xml:space="preserve">10 / 12 , </t>
  </si>
  <si>
    <t xml:space="preserve">10 / 13 , </t>
  </si>
  <si>
    <t xml:space="preserve">10 / 14 , </t>
  </si>
  <si>
    <t xml:space="preserve">10 / 15 , </t>
  </si>
  <si>
    <t xml:space="preserve">10 / 16 , </t>
  </si>
  <si>
    <t xml:space="preserve">10 / 17 , </t>
  </si>
  <si>
    <t xml:space="preserve">10 / 18 , </t>
  </si>
  <si>
    <t xml:space="preserve">10 / 19 , </t>
  </si>
  <si>
    <t xml:space="preserve">10 / 20 , </t>
  </si>
  <si>
    <t xml:space="preserve">10 / 21 , </t>
  </si>
  <si>
    <t xml:space="preserve">10 / 22 , </t>
  </si>
  <si>
    <t xml:space="preserve">10 / 23 , </t>
  </si>
  <si>
    <t xml:space="preserve">10 / 24 , </t>
  </si>
  <si>
    <t xml:space="preserve">10 / 25 , </t>
  </si>
  <si>
    <t xml:space="preserve">10 / 26 , </t>
  </si>
  <si>
    <t xml:space="preserve">10 / 27 , </t>
  </si>
  <si>
    <t xml:space="preserve">10 / 28 , </t>
  </si>
  <si>
    <t xml:space="preserve">10 / 29 , </t>
  </si>
  <si>
    <t xml:space="preserve">10 / 30 , </t>
  </si>
  <si>
    <t xml:space="preserve">10 / 31 , </t>
  </si>
  <si>
    <t xml:space="preserve">10 / 32 , </t>
  </si>
  <si>
    <t xml:space="preserve">10 / 33 , </t>
  </si>
  <si>
    <t xml:space="preserve">10 / 34 , </t>
  </si>
  <si>
    <t xml:space="preserve">10 / 35 , </t>
  </si>
  <si>
    <t xml:space="preserve">10 / 36 , </t>
  </si>
  <si>
    <t xml:space="preserve">10 / 37 , </t>
  </si>
  <si>
    <t xml:space="preserve">10 / 38 , </t>
  </si>
  <si>
    <t xml:space="preserve">10 / 39 , </t>
  </si>
  <si>
    <t xml:space="preserve">10 / 40 , </t>
  </si>
  <si>
    <t xml:space="preserve">10 / 41 , </t>
  </si>
  <si>
    <t xml:space="preserve">10 / 42 , </t>
  </si>
  <si>
    <t xml:space="preserve">10 / 43 , </t>
  </si>
  <si>
    <t xml:space="preserve">10 / 44 , </t>
  </si>
  <si>
    <t xml:space="preserve">10 / 45 , </t>
  </si>
  <si>
    <t xml:space="preserve">10 / 46 , </t>
  </si>
  <si>
    <t xml:space="preserve">10 / 47 , </t>
  </si>
  <si>
    <t xml:space="preserve">10 / 48 , </t>
  </si>
  <si>
    <t xml:space="preserve">10 / 49 , </t>
  </si>
  <si>
    <t xml:space="preserve">10 / 50 , </t>
  </si>
  <si>
    <t xml:space="preserve">10 / 51 , </t>
  </si>
  <si>
    <t xml:space="preserve">10 / 52 , </t>
  </si>
  <si>
    <t xml:space="preserve">10 / 53 , </t>
  </si>
  <si>
    <t xml:space="preserve">10 / 54 , </t>
  </si>
  <si>
    <t xml:space="preserve">10 / 55 , </t>
  </si>
  <si>
    <t xml:space="preserve">10 / 56 , </t>
  </si>
  <si>
    <t xml:space="preserve">10 / 57 , </t>
  </si>
  <si>
    <t xml:space="preserve">10 / 58 , </t>
  </si>
  <si>
    <t xml:space="preserve">10 / 59 , </t>
  </si>
  <si>
    <t xml:space="preserve">10 / 60 , </t>
  </si>
  <si>
    <t xml:space="preserve">10 / 61 , </t>
  </si>
  <si>
    <t xml:space="preserve">10 / 62 , </t>
  </si>
  <si>
    <t xml:space="preserve">10 / 63 , </t>
  </si>
  <si>
    <t xml:space="preserve">10 / 64 , </t>
  </si>
  <si>
    <t xml:space="preserve">10 / 65 , </t>
  </si>
  <si>
    <t xml:space="preserve">10 / 66 , </t>
  </si>
  <si>
    <t xml:space="preserve">10 / 67 , </t>
  </si>
  <si>
    <t xml:space="preserve">10 / 68 , </t>
  </si>
  <si>
    <t xml:space="preserve">10 / 69 , </t>
  </si>
  <si>
    <t xml:space="preserve">10 / 70 , </t>
  </si>
  <si>
    <t xml:space="preserve">10 / 71 , </t>
  </si>
  <si>
    <t xml:space="preserve">10 / 72 , </t>
  </si>
  <si>
    <t xml:space="preserve">10 / 73 , </t>
  </si>
  <si>
    <t xml:space="preserve">10 / 74 , </t>
  </si>
  <si>
    <t xml:space="preserve">10 / 75 , </t>
  </si>
  <si>
    <t xml:space="preserve">10 / 76 , </t>
  </si>
  <si>
    <t xml:space="preserve">10 / 77 , </t>
  </si>
  <si>
    <t xml:space="preserve">10 / 78 , </t>
  </si>
  <si>
    <t xml:space="preserve">10 / 79 , </t>
  </si>
  <si>
    <t xml:space="preserve">10 / 80 , </t>
  </si>
  <si>
    <t xml:space="preserve">10 / 81 , </t>
  </si>
  <si>
    <t xml:space="preserve">10 / 82 , </t>
  </si>
  <si>
    <t xml:space="preserve">10 / 83 , </t>
  </si>
  <si>
    <t xml:space="preserve">10 / 84 , </t>
  </si>
  <si>
    <t xml:space="preserve">10 / 85 , </t>
  </si>
  <si>
    <t xml:space="preserve">10 / 86 , </t>
  </si>
  <si>
    <t xml:space="preserve">10 / 87 , </t>
  </si>
  <si>
    <t xml:space="preserve">10 / 88 , </t>
  </si>
  <si>
    <t xml:space="preserve">10 / 89 , </t>
  </si>
  <si>
    <t xml:space="preserve">10 / 90 , </t>
  </si>
  <si>
    <t xml:space="preserve">10 / 91 , </t>
  </si>
  <si>
    <t xml:space="preserve">10 / 92 , </t>
  </si>
  <si>
    <t xml:space="preserve">10 / 93 , </t>
  </si>
  <si>
    <t xml:space="preserve">10 / 94 , </t>
  </si>
  <si>
    <t xml:space="preserve">10 / 95 , </t>
  </si>
  <si>
    <t xml:space="preserve">10 / 96 , </t>
  </si>
  <si>
    <t xml:space="preserve">10 / 97 , </t>
  </si>
  <si>
    <t xml:space="preserve">10 / 98 , </t>
  </si>
  <si>
    <t xml:space="preserve">10 / 99 , </t>
  </si>
  <si>
    <t xml:space="preserve">10 / 100 , </t>
  </si>
  <si>
    <t xml:space="preserve">11 / 1 , </t>
  </si>
  <si>
    <t>ZR1-L2</t>
  </si>
  <si>
    <t xml:space="preserve">11 / 2 , </t>
  </si>
  <si>
    <t xml:space="preserve">11 / 3 , </t>
  </si>
  <si>
    <t xml:space="preserve">11 / 4 , </t>
  </si>
  <si>
    <t xml:space="preserve">11 / 5 , </t>
  </si>
  <si>
    <t xml:space="preserve">11 / 6 , </t>
  </si>
  <si>
    <t xml:space="preserve">11 / 7 , </t>
  </si>
  <si>
    <t xml:space="preserve">11 / 8 , </t>
  </si>
  <si>
    <t xml:space="preserve">11 / 9 , </t>
  </si>
  <si>
    <t xml:space="preserve">11 / 10 , </t>
  </si>
  <si>
    <t xml:space="preserve">11 / 11 , </t>
  </si>
  <si>
    <t xml:space="preserve">11 / 12 , </t>
  </si>
  <si>
    <t xml:space="preserve">11 / 13 , </t>
  </si>
  <si>
    <t xml:space="preserve">11 / 14 , </t>
  </si>
  <si>
    <t xml:space="preserve">11 / 15 , </t>
  </si>
  <si>
    <t xml:space="preserve">11 / 16 , </t>
  </si>
  <si>
    <t xml:space="preserve">11 / 17 , </t>
  </si>
  <si>
    <t xml:space="preserve">11 / 18 , </t>
  </si>
  <si>
    <t xml:space="preserve">11 / 19 , </t>
  </si>
  <si>
    <t xml:space="preserve">11 / 20 , </t>
  </si>
  <si>
    <t xml:space="preserve">11 / 21 , </t>
  </si>
  <si>
    <t xml:space="preserve">11 / 22 , </t>
  </si>
  <si>
    <t xml:space="preserve">11 / 23 , </t>
  </si>
  <si>
    <t xml:space="preserve">11 / 24 , </t>
  </si>
  <si>
    <t xml:space="preserve">11 / 25 , </t>
  </si>
  <si>
    <t xml:space="preserve">11 / 26 , </t>
  </si>
  <si>
    <t xml:space="preserve">11 / 27 , </t>
  </si>
  <si>
    <t xml:space="preserve">11 / 28 , </t>
  </si>
  <si>
    <t xml:space="preserve">11 / 29 , </t>
  </si>
  <si>
    <t xml:space="preserve">11 / 30 , </t>
  </si>
  <si>
    <t>P2O5</t>
  </si>
  <si>
    <t>Distance (µ)</t>
  </si>
  <si>
    <t>Co</t>
  </si>
  <si>
    <t xml:space="preserve">1 / 1 , </t>
  </si>
  <si>
    <t>Z-10-Line1</t>
  </si>
  <si>
    <t xml:space="preserve">1 / 2 , </t>
  </si>
  <si>
    <t xml:space="preserve">1 / 3 , </t>
  </si>
  <si>
    <t xml:space="preserve">1 / 4 , </t>
  </si>
  <si>
    <t xml:space="preserve">1 / 5 , </t>
  </si>
  <si>
    <t xml:space="preserve">1 / 6 , </t>
  </si>
  <si>
    <t xml:space="preserve">1 / 7 , </t>
  </si>
  <si>
    <t xml:space="preserve">1 / 8 , </t>
  </si>
  <si>
    <t xml:space="preserve">1 / 9 , </t>
  </si>
  <si>
    <t xml:space="preserve">1 / 10 , </t>
  </si>
  <si>
    <t xml:space="preserve">1 / 11 , </t>
  </si>
  <si>
    <t xml:space="preserve">1 / 12 , </t>
  </si>
  <si>
    <t xml:space="preserve">1 / 13 , </t>
  </si>
  <si>
    <t xml:space="preserve">1 / 14 , </t>
  </si>
  <si>
    <t xml:space="preserve">1 / 15 , </t>
  </si>
  <si>
    <t xml:space="preserve">1 / 16 , </t>
  </si>
  <si>
    <t xml:space="preserve">1 / 17 , </t>
  </si>
  <si>
    <t xml:space="preserve">1 / 18 , </t>
  </si>
  <si>
    <t xml:space="preserve">1 / 19 , </t>
  </si>
  <si>
    <t xml:space="preserve">1 / 20 , </t>
  </si>
  <si>
    <t xml:space="preserve">1 / 21 , </t>
  </si>
  <si>
    <t xml:space="preserve">1 / 22 , </t>
  </si>
  <si>
    <t xml:space="preserve">1 / 23 , </t>
  </si>
  <si>
    <t xml:space="preserve">1 / 24 , </t>
  </si>
  <si>
    <t xml:space="preserve">1 / 25 , </t>
  </si>
  <si>
    <t xml:space="preserve">1 / 26 , </t>
  </si>
  <si>
    <t xml:space="preserve">1 / 27 , </t>
  </si>
  <si>
    <t xml:space="preserve">1 / 28 , </t>
  </si>
  <si>
    <t xml:space="preserve">1 / 29 , </t>
  </si>
  <si>
    <t xml:space="preserve">1 / 30 , </t>
  </si>
  <si>
    <t xml:space="preserve">1 / 31 , </t>
  </si>
  <si>
    <t xml:space="preserve">1 / 32 , </t>
  </si>
  <si>
    <t xml:space="preserve">1 / 33 , </t>
  </si>
  <si>
    <t xml:space="preserve">1 / 34 , </t>
  </si>
  <si>
    <t xml:space="preserve">1 / 35 , </t>
  </si>
  <si>
    <t xml:space="preserve">1 / 36 , </t>
  </si>
  <si>
    <t xml:space="preserve">1 / 37 , </t>
  </si>
  <si>
    <t xml:space="preserve">1 / 38 , </t>
  </si>
  <si>
    <t xml:space="preserve">1 / 39 , </t>
  </si>
  <si>
    <t xml:space="preserve">1 / 40 , </t>
  </si>
  <si>
    <t xml:space="preserve">1 / 41 , </t>
  </si>
  <si>
    <t xml:space="preserve">1 / 42 , </t>
  </si>
  <si>
    <t xml:space="preserve">1 / 43 , </t>
  </si>
  <si>
    <t xml:space="preserve">1 / 44 , </t>
  </si>
  <si>
    <t xml:space="preserve">1 / 45 , </t>
  </si>
  <si>
    <t xml:space="preserve">1 / 46 , </t>
  </si>
  <si>
    <t xml:space="preserve">1 / 47 , </t>
  </si>
  <si>
    <t xml:space="preserve">1 / 48 , </t>
  </si>
  <si>
    <t xml:space="preserve">1 / 49 , </t>
  </si>
  <si>
    <t xml:space="preserve">1 / 50 , </t>
  </si>
  <si>
    <t xml:space="preserve">1 / 51 , </t>
  </si>
  <si>
    <t xml:space="preserve">1 / 52 , </t>
  </si>
  <si>
    <t xml:space="preserve">1 / 53 , </t>
  </si>
  <si>
    <t xml:space="preserve">1 / 54 , </t>
  </si>
  <si>
    <t xml:space="preserve">1 / 55 , </t>
  </si>
  <si>
    <t xml:space="preserve">1 / 56 , </t>
  </si>
  <si>
    <t xml:space="preserve">1 / 57 , </t>
  </si>
  <si>
    <t xml:space="preserve">1 / 58 , </t>
  </si>
  <si>
    <t xml:space="preserve">1 / 59 , </t>
  </si>
  <si>
    <t xml:space="preserve">1 / 60 , </t>
  </si>
  <si>
    <t xml:space="preserve">1 / 61 , </t>
  </si>
  <si>
    <t xml:space="preserve">1 / 62 , </t>
  </si>
  <si>
    <t xml:space="preserve">1 / 63 , </t>
  </si>
  <si>
    <t xml:space="preserve">1 / 64 , </t>
  </si>
  <si>
    <t xml:space="preserve">1 / 65 , </t>
  </si>
  <si>
    <t xml:space="preserve">1 / 66 , </t>
  </si>
  <si>
    <t xml:space="preserve">1 / 67 , </t>
  </si>
  <si>
    <t xml:space="preserve">1 / 68 , </t>
  </si>
  <si>
    <t xml:space="preserve">1 / 69 , </t>
  </si>
  <si>
    <t xml:space="preserve">1 / 70 , </t>
  </si>
  <si>
    <t xml:space="preserve">1 / 71 , </t>
  </si>
  <si>
    <t xml:space="preserve">1 / 72 , </t>
  </si>
  <si>
    <t xml:space="preserve">1 / 73 , </t>
  </si>
  <si>
    <t xml:space="preserve">1 / 74 , </t>
  </si>
  <si>
    <t xml:space="preserve">1 / 75 , </t>
  </si>
  <si>
    <t xml:space="preserve">1 / 76 , </t>
  </si>
  <si>
    <t xml:space="preserve">1 / 77 , </t>
  </si>
  <si>
    <t xml:space="preserve">1 / 78 , </t>
  </si>
  <si>
    <t xml:space="preserve">1 / 79 , </t>
  </si>
  <si>
    <t xml:space="preserve">1 / 80 , </t>
  </si>
  <si>
    <t xml:space="preserve">1 / 81 , </t>
  </si>
  <si>
    <t xml:space="preserve">1 / 82 , </t>
  </si>
  <si>
    <t xml:space="preserve">1 / 83 , </t>
  </si>
  <si>
    <t xml:space="preserve">1 / 84 , </t>
  </si>
  <si>
    <t xml:space="preserve">1 / 85 , </t>
  </si>
  <si>
    <t xml:space="preserve">1 / 86 , </t>
  </si>
  <si>
    <t xml:space="preserve">1 / 87 , </t>
  </si>
  <si>
    <t xml:space="preserve">1 / 88 , </t>
  </si>
  <si>
    <t xml:space="preserve">1 / 89 , </t>
  </si>
  <si>
    <t xml:space="preserve">1 / 90 , </t>
  </si>
  <si>
    <t xml:space="preserve">1 / 91 , </t>
  </si>
  <si>
    <t xml:space="preserve">1 / 92 , </t>
  </si>
  <si>
    <t xml:space="preserve">1 / 93 , </t>
  </si>
  <si>
    <t xml:space="preserve">1 / 94 , </t>
  </si>
  <si>
    <t xml:space="preserve">1 / 95 , </t>
  </si>
  <si>
    <t xml:space="preserve">1 / 96 , </t>
  </si>
  <si>
    <t xml:space="preserve">1 / 97 , </t>
  </si>
  <si>
    <t xml:space="preserve">1 / 98 , </t>
  </si>
  <si>
    <t xml:space="preserve">1 / 99 , </t>
  </si>
  <si>
    <t xml:space="preserve">1 / 100 , </t>
  </si>
  <si>
    <t xml:space="preserve">1 / 101 , </t>
  </si>
  <si>
    <t xml:space="preserve">1 / 102 , </t>
  </si>
  <si>
    <t xml:space="preserve">1 / 103 , </t>
  </si>
  <si>
    <t xml:space="preserve">1 / 104 , </t>
  </si>
  <si>
    <t xml:space="preserve">1 / 105 , </t>
  </si>
  <si>
    <t xml:space="preserve">1 / 106 , </t>
  </si>
  <si>
    <t xml:space="preserve">1 / 107 , </t>
  </si>
  <si>
    <t xml:space="preserve">1 / 108 , </t>
  </si>
  <si>
    <t xml:space="preserve">1 / 109 , </t>
  </si>
  <si>
    <t xml:space="preserve">1 / 110 , </t>
  </si>
  <si>
    <t xml:space="preserve">1 / 111 , </t>
  </si>
  <si>
    <t xml:space="preserve">1 / 112 , </t>
  </si>
  <si>
    <t xml:space="preserve">1 / 113 , </t>
  </si>
  <si>
    <t xml:space="preserve">1 / 114 , </t>
  </si>
  <si>
    <t xml:space="preserve">1 / 115 , </t>
  </si>
  <si>
    <t xml:space="preserve">1 / 116 , </t>
  </si>
  <si>
    <t xml:space="preserve">1 / 117 , </t>
  </si>
  <si>
    <t xml:space="preserve">1 / 118 , </t>
  </si>
  <si>
    <t xml:space="preserve">1 / 119 , </t>
  </si>
  <si>
    <t xml:space="preserve">1 / 120 , </t>
  </si>
  <si>
    <t xml:space="preserve">1 / 121 , </t>
  </si>
  <si>
    <t xml:space="preserve">1 / 122 , </t>
  </si>
  <si>
    <t xml:space="preserve">1 / 123 , </t>
  </si>
  <si>
    <t xml:space="preserve">1 / 124 , </t>
  </si>
  <si>
    <t xml:space="preserve">1 / 125 , </t>
  </si>
  <si>
    <t xml:space="preserve">1 / 126 , </t>
  </si>
  <si>
    <t xml:space="preserve">1 / 127 , </t>
  </si>
  <si>
    <t xml:space="preserve">1 / 128 , </t>
  </si>
  <si>
    <t xml:space="preserve">1 / 129 , </t>
  </si>
  <si>
    <t xml:space="preserve">1 / 130 , </t>
  </si>
  <si>
    <t xml:space="preserve">1 / 131 , </t>
  </si>
  <si>
    <t xml:space="preserve">1 / 132 , </t>
  </si>
  <si>
    <t xml:space="preserve">1 / 133 , </t>
  </si>
  <si>
    <t xml:space="preserve">1 / 134 , </t>
  </si>
  <si>
    <t xml:space="preserve">1 / 135 , </t>
  </si>
  <si>
    <t xml:space="preserve">1 / 136 , </t>
  </si>
  <si>
    <t xml:space="preserve">1 / 137 , </t>
  </si>
  <si>
    <t xml:space="preserve">1 / 138 , </t>
  </si>
  <si>
    <t xml:space="preserve">1 / 139 , </t>
  </si>
  <si>
    <t xml:space="preserve">1 / 140 , </t>
  </si>
  <si>
    <t xml:space="preserve">1 / 141 , </t>
  </si>
  <si>
    <t xml:space="preserve">1 / 142 , </t>
  </si>
  <si>
    <t xml:space="preserve">1 / 143 , </t>
  </si>
  <si>
    <t xml:space="preserve">1 / 144 , </t>
  </si>
  <si>
    <t xml:space="preserve">1 / 145 , </t>
  </si>
  <si>
    <t xml:space="preserve">1 / 146 , </t>
  </si>
  <si>
    <t xml:space="preserve">1 / 147 , </t>
  </si>
  <si>
    <t xml:space="preserve">1 / 148 , </t>
  </si>
  <si>
    <t xml:space="preserve">1 / 149 , </t>
  </si>
  <si>
    <t xml:space="preserve">1 / 150 , </t>
  </si>
  <si>
    <t xml:space="preserve">1 / 151 , </t>
  </si>
  <si>
    <t xml:space="preserve">1 / 152 , </t>
  </si>
  <si>
    <t xml:space="preserve">1 / 153 , </t>
  </si>
  <si>
    <t xml:space="preserve">1 / 154 , </t>
  </si>
  <si>
    <t xml:space="preserve">1 / 155 , </t>
  </si>
  <si>
    <t xml:space="preserve">1 / 156 , </t>
  </si>
  <si>
    <t xml:space="preserve">1 / 157 , </t>
  </si>
  <si>
    <t xml:space="preserve">1 / 158 , </t>
  </si>
  <si>
    <t xml:space="preserve">1 / 159 , </t>
  </si>
  <si>
    <t xml:space="preserve">1 / 160 , </t>
  </si>
  <si>
    <t xml:space="preserve">1 / 161 , </t>
  </si>
  <si>
    <t xml:space="preserve">1 / 162 , </t>
  </si>
  <si>
    <t xml:space="preserve">1 / 163 , </t>
  </si>
  <si>
    <t xml:space="preserve">1 / 164 , </t>
  </si>
  <si>
    <t xml:space="preserve">1 / 165 , </t>
  </si>
  <si>
    <t xml:space="preserve">1 / 166 , </t>
  </si>
  <si>
    <t xml:space="preserve">1 / 167 , </t>
  </si>
  <si>
    <t xml:space="preserve">1 / 168 , </t>
  </si>
  <si>
    <t xml:space="preserve">1 / 169 , </t>
  </si>
  <si>
    <t xml:space="preserve">1 / 170 , </t>
  </si>
  <si>
    <t xml:space="preserve">1 / 171 , </t>
  </si>
  <si>
    <t xml:space="preserve">1 / 172 , </t>
  </si>
  <si>
    <t xml:space="preserve">1 / 173 , </t>
  </si>
  <si>
    <t xml:space="preserve">1 / 174 , </t>
  </si>
  <si>
    <t xml:space="preserve">1 / 175 , </t>
  </si>
  <si>
    <t xml:space="preserve">1 / 176 , </t>
  </si>
  <si>
    <t xml:space="preserve">1 / 177 , </t>
  </si>
  <si>
    <t xml:space="preserve">1 / 178 , </t>
  </si>
  <si>
    <t xml:space="preserve">1 / 179 , </t>
  </si>
  <si>
    <t xml:space="preserve">1 / 180 , </t>
  </si>
  <si>
    <t xml:space="preserve">1 / 181 , </t>
  </si>
  <si>
    <t xml:space="preserve">1 / 182 , </t>
  </si>
  <si>
    <t xml:space="preserve">1 / 183 , </t>
  </si>
  <si>
    <t xml:space="preserve">1 / 184 , </t>
  </si>
  <si>
    <t xml:space="preserve">1 / 185 , </t>
  </si>
  <si>
    <t xml:space="preserve">1 / 186 , </t>
  </si>
  <si>
    <t xml:space="preserve">1 / 187 , </t>
  </si>
  <si>
    <t xml:space="preserve">1 / 188 , </t>
  </si>
  <si>
    <t xml:space="preserve">1 / 189 , </t>
  </si>
  <si>
    <t xml:space="preserve">1 / 190 , </t>
  </si>
  <si>
    <t xml:space="preserve">1 / 191 , </t>
  </si>
  <si>
    <t xml:space="preserve">1 / 192 , </t>
  </si>
  <si>
    <t xml:space="preserve">1 / 193 , </t>
  </si>
  <si>
    <t xml:space="preserve">1 / 194 , </t>
  </si>
  <si>
    <t xml:space="preserve">1 / 195 , </t>
  </si>
  <si>
    <t xml:space="preserve">1 / 196 , </t>
  </si>
  <si>
    <t xml:space="preserve">1 / 197 , </t>
  </si>
  <si>
    <t xml:space="preserve">1 / 198 , </t>
  </si>
  <si>
    <t xml:space="preserve">1 / 199 , </t>
  </si>
  <si>
    <t xml:space="preserve">1 / 200 , </t>
  </si>
  <si>
    <t xml:space="preserve">1 / 201 , </t>
  </si>
  <si>
    <t xml:space="preserve">1 / 202 , </t>
  </si>
  <si>
    <t xml:space="preserve">1 / 203 , </t>
  </si>
  <si>
    <t>Data</t>
  </si>
  <si>
    <t>T K</t>
  </si>
  <si>
    <t>T°C</t>
  </si>
  <si>
    <t>104/T</t>
  </si>
  <si>
    <t>P GPa</t>
  </si>
  <si>
    <t>Run duration (sec)</t>
  </si>
  <si>
    <t>H2O content (wt%)</t>
  </si>
  <si>
    <t>Na2O content (wt%)</t>
  </si>
  <si>
    <t>Co (ppm)</t>
  </si>
  <si>
    <t>D (cm2/sec)</t>
  </si>
  <si>
    <t>D (m2/sec)</t>
  </si>
  <si>
    <t>log (D) cm2/sec</t>
  </si>
  <si>
    <t>log (D) m2/sec</t>
  </si>
  <si>
    <t>log Do (cm2/sec)</t>
  </si>
  <si>
    <t>log Do (m2/sec)</t>
  </si>
  <si>
    <t>Ea kJ/mol</t>
  </si>
  <si>
    <t>Glass</t>
  </si>
  <si>
    <t>Fe2O3</t>
  </si>
  <si>
    <t>F</t>
  </si>
  <si>
    <t>Cl</t>
  </si>
  <si>
    <t>M</t>
  </si>
  <si>
    <t>FM</t>
  </si>
  <si>
    <t>G factor</t>
  </si>
  <si>
    <t>Si</t>
  </si>
  <si>
    <t>Ti</t>
  </si>
  <si>
    <t>Al</t>
  </si>
  <si>
    <t>Fe3+</t>
  </si>
  <si>
    <t>Fe2+</t>
  </si>
  <si>
    <t>Mn</t>
  </si>
  <si>
    <t>Mg</t>
  </si>
  <si>
    <t>Ca</t>
  </si>
  <si>
    <t>Na</t>
  </si>
  <si>
    <t>K</t>
  </si>
  <si>
    <t xml:space="preserve">NBO/ T=(Na+K+2(Ca+Mg+Mn+Fe2+)-Al-Fe3+)/(Si+Al+Ti+Fe3+). </t>
  </si>
  <si>
    <t>Total mol</t>
  </si>
  <si>
    <t>lnDZr (Zhang &amp; Xu, 2016)</t>
  </si>
  <si>
    <t>DZr m2/s</t>
  </si>
  <si>
    <t>DZr cm2/s</t>
  </si>
  <si>
    <t>logDZr</t>
  </si>
  <si>
    <t>Harrison &amp; Watson, 1983</t>
  </si>
  <si>
    <t>ZIRDIS 1</t>
  </si>
  <si>
    <t>ZIRDIS 2</t>
  </si>
  <si>
    <t>ZIRDIS 3</t>
  </si>
  <si>
    <t>ZIRDIS 4</t>
  </si>
  <si>
    <t>ZIRDIS 5</t>
  </si>
  <si>
    <t>ZIRDIS 6</t>
  </si>
  <si>
    <t>ZIRDIS 7</t>
  </si>
  <si>
    <t>ZIRDIS 8</t>
  </si>
  <si>
    <t>ZIRDIS 9</t>
  </si>
  <si>
    <t>ZIRDIS 10</t>
  </si>
  <si>
    <t>ZIRDIS 11</t>
  </si>
  <si>
    <t>ZIRDIS 12</t>
  </si>
  <si>
    <t>Baker et al., 2002</t>
  </si>
  <si>
    <t>LCO</t>
  </si>
  <si>
    <t>AA6</t>
  </si>
  <si>
    <t>AA32</t>
  </si>
  <si>
    <t>AA3</t>
  </si>
  <si>
    <t>AA29</t>
  </si>
  <si>
    <t>AA37</t>
  </si>
  <si>
    <t>AA39</t>
  </si>
  <si>
    <t>AA38</t>
  </si>
  <si>
    <t>AA9</t>
  </si>
  <si>
    <t>AA50</t>
  </si>
  <si>
    <t>AAX3</t>
  </si>
  <si>
    <t>AA12</t>
  </si>
  <si>
    <t>AA40</t>
  </si>
  <si>
    <t>AA41</t>
  </si>
  <si>
    <t>AA16</t>
  </si>
  <si>
    <t>AA20</t>
  </si>
  <si>
    <t>AA53</t>
  </si>
  <si>
    <t>LCI</t>
  </si>
  <si>
    <t>AA4</t>
  </si>
  <si>
    <t>AA58</t>
  </si>
  <si>
    <t>AA1</t>
  </si>
  <si>
    <t>AA31</t>
  </si>
  <si>
    <t>AA24</t>
  </si>
  <si>
    <t>AA51</t>
  </si>
  <si>
    <t>AA10</t>
  </si>
  <si>
    <t>AAX1</t>
  </si>
  <si>
    <t>AA42</t>
  </si>
  <si>
    <t>AA28</t>
  </si>
  <si>
    <t>AA18</t>
  </si>
  <si>
    <t>AA54</t>
  </si>
  <si>
    <t>MRF</t>
  </si>
  <si>
    <t>AA5</t>
  </si>
  <si>
    <t>AA33</t>
  </si>
  <si>
    <t>AA2</t>
  </si>
  <si>
    <t>AA59</t>
  </si>
  <si>
    <t>AA27</t>
  </si>
  <si>
    <t>AA52</t>
  </si>
  <si>
    <t>AAX2</t>
  </si>
  <si>
    <t>AA11</t>
  </si>
  <si>
    <t>AA60</t>
  </si>
  <si>
    <t>AA15</t>
  </si>
  <si>
    <t>AA19</t>
  </si>
  <si>
    <t>AA55</t>
  </si>
  <si>
    <t>LaTourrette et al. 1996</t>
  </si>
  <si>
    <t>TL46</t>
  </si>
  <si>
    <t>TL41</t>
  </si>
  <si>
    <t>TL45</t>
  </si>
  <si>
    <t>TL48</t>
  </si>
  <si>
    <t>TL42</t>
  </si>
  <si>
    <t>TL49</t>
  </si>
  <si>
    <t>Nakamura &amp; Kushiro, 1998</t>
  </si>
  <si>
    <t>jadeite</t>
  </si>
  <si>
    <t>Koepke &amp; Behrens, 2001</t>
  </si>
  <si>
    <t>andesite</t>
  </si>
  <si>
    <t>Mungall et al. 1999</t>
  </si>
  <si>
    <t>P1</t>
  </si>
  <si>
    <t>P2</t>
  </si>
  <si>
    <t>P14</t>
  </si>
  <si>
    <t>P3</t>
  </si>
  <si>
    <t>JMPC88</t>
  </si>
  <si>
    <t>JMPC87</t>
  </si>
  <si>
    <t>P8</t>
  </si>
  <si>
    <t>P9</t>
  </si>
  <si>
    <t>P15</t>
  </si>
  <si>
    <t>this work</t>
  </si>
  <si>
    <t>Zhang &amp; Xu, 2016</t>
  </si>
  <si>
    <t>ZirDis1</t>
  </si>
  <si>
    <t>Rhy1</t>
  </si>
  <si>
    <t>ZirDis2</t>
  </si>
  <si>
    <t>ZirDis3</t>
  </si>
  <si>
    <t>ZirDis4</t>
  </si>
  <si>
    <t>ZirDis14</t>
  </si>
  <si>
    <t>ZirDis15</t>
  </si>
  <si>
    <t>ZirDis16</t>
  </si>
  <si>
    <t>ZirDis12</t>
  </si>
  <si>
    <t>Rhy2</t>
  </si>
  <si>
    <t>ZirDis13b</t>
  </si>
  <si>
    <t>ZirDis18</t>
  </si>
  <si>
    <t>ZirDis10</t>
  </si>
  <si>
    <t>Rhy3</t>
  </si>
  <si>
    <t>ZirDis11</t>
  </si>
  <si>
    <t>ZirDis9</t>
  </si>
  <si>
    <t>Rhy4</t>
  </si>
  <si>
    <t>ZirDis5</t>
  </si>
  <si>
    <t>Rhy5</t>
  </si>
  <si>
    <t>ZirDis6b</t>
  </si>
  <si>
    <t>ZirDis7</t>
  </si>
  <si>
    <t>Holycross &amp; Watson, 2016</t>
  </si>
  <si>
    <t>Holycross &amp; Watson, 2018</t>
  </si>
  <si>
    <t>LTEF24</t>
  </si>
  <si>
    <t>LTEF27</t>
  </si>
  <si>
    <t>LTEF29</t>
  </si>
  <si>
    <t>LTEF31</t>
  </si>
  <si>
    <t>LTEF34</t>
  </si>
  <si>
    <t>LTEF35</t>
  </si>
  <si>
    <t>LTEF37</t>
  </si>
  <si>
    <t>LTEF38</t>
  </si>
  <si>
    <t>LTEF21</t>
  </si>
  <si>
    <t>LTEF22</t>
  </si>
  <si>
    <t>LTEF23</t>
  </si>
  <si>
    <t>LTEF33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</si>
</sst>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"/>
    <numFmt numFmtId="165" formatCode="_-* #,##0.00\ _€_-;\-* #,##0.00\ _€_-;_-* &quot;-&quot;??\ _€_-;_-@_-"/>
    <numFmt numFmtId="166" formatCode="_-* #,##0.000\ _€_-;\-* #,##0.000\ _€_-;_-* &quot;-&quot;???\ _€_-;_-@_-"/>
  </numFmts>
  <fonts count="11">
    <font>
      <sz val="11"/>
      <color theme="1"/>
      <name val="Calibri"/>
      <family val="2"/>
      <scheme val="minor"/>
    </font>
    <font>
      <b/>
      <vertAlign val="subscript"/>
      <sz val="10"/>
      <color indexed="8"/>
      <name val="Times New Roman"/>
      <family val="1"/>
    </font>
    <font>
      <b/>
      <i/>
      <vertAlign val="subscript"/>
      <sz val="10"/>
      <color indexed="8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0070C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0" applyFont="1"/>
    <xf numFmtId="0" fontId="5" fillId="0" borderId="0" xfId="0" applyFont="1"/>
    <xf numFmtId="43" fontId="5" fillId="0" borderId="0" xfId="1" applyFont="1"/>
    <xf numFmtId="11" fontId="5" fillId="0" borderId="0" xfId="0" applyNumberFormat="1" applyFont="1"/>
    <xf numFmtId="11" fontId="5" fillId="0" borderId="0" xfId="1" applyNumberFormat="1" applyFont="1"/>
    <xf numFmtId="164" fontId="5" fillId="0" borderId="0" xfId="0" applyNumberFormat="1" applyFont="1"/>
    <xf numFmtId="11" fontId="6" fillId="0" borderId="0" xfId="0" applyNumberFormat="1" applyFont="1" applyAlignment="1">
      <alignment horizontal="right" vertical="center" readingOrder="1"/>
    </xf>
    <xf numFmtId="165" fontId="5" fillId="0" borderId="0" xfId="0" applyNumberFormat="1" applyFont="1"/>
    <xf numFmtId="0" fontId="7" fillId="0" borderId="0" xfId="0" applyFont="1"/>
    <xf numFmtId="14" fontId="7" fillId="0" borderId="0" xfId="0" applyNumberFormat="1" applyFont="1"/>
    <xf numFmtId="0" fontId="8" fillId="0" borderId="0" xfId="0" applyFont="1"/>
    <xf numFmtId="43" fontId="7" fillId="0" borderId="0" xfId="1" applyFont="1"/>
    <xf numFmtId="166" fontId="7" fillId="0" borderId="0" xfId="1" applyNumberFormat="1" applyFont="1"/>
    <xf numFmtId="43" fontId="8" fillId="0" borderId="0" xfId="1" applyFont="1"/>
    <xf numFmtId="11" fontId="7" fillId="0" borderId="0" xfId="1" applyNumberFormat="1" applyFont="1"/>
    <xf numFmtId="0" fontId="9" fillId="0" borderId="0" xfId="0" applyFont="1"/>
    <xf numFmtId="43" fontId="9" fillId="0" borderId="0" xfId="1" applyFont="1"/>
    <xf numFmtId="166" fontId="9" fillId="0" borderId="0" xfId="1" applyNumberFormat="1" applyFont="1"/>
    <xf numFmtId="11" fontId="9" fillId="0" borderId="0" xfId="1" applyNumberFormat="1" applyFont="1"/>
    <xf numFmtId="0" fontId="10" fillId="0" borderId="0" xfId="0" applyFont="1"/>
    <xf numFmtId="165" fontId="10" fillId="0" borderId="0" xfId="0" applyNumberFormat="1" applyFont="1"/>
    <xf numFmtId="22" fontId="7" fillId="0" borderId="0" xfId="0" applyNumberFormat="1" applyFont="1"/>
    <xf numFmtId="0" fontId="7" fillId="0" borderId="0" xfId="0" applyFont="1" applyAlignment="1">
      <alignment horizontal="right"/>
    </xf>
    <xf numFmtId="22" fontId="7" fillId="0" borderId="0" xfId="0" applyNumberFormat="1" applyFont="1" applyAlignment="1">
      <alignment horizontal="right"/>
    </xf>
    <xf numFmtId="14" fontId="8" fillId="0" borderId="0" xfId="0" applyNumberFormat="1" applyFont="1"/>
    <xf numFmtId="166" fontId="8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fr-FR"/>
              <a:t>Z1: Zr measured profile, 0.5 GPa, 1300°C, 5h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tx1">
                    <a:alpha val="98000"/>
                  </a:schemeClr>
                </a:solidFill>
              </a:ln>
              <a:effectLst/>
            </c:spPr>
          </c:marker>
          <c:xVal>
            <c:numRef>
              <c:f>'Z1 data'!$AB$6:$AB$133</c:f>
              <c:numCache>
                <c:formatCode>General</c:formatCode>
                <c:ptCount val="128"/>
                <c:pt idx="0">
                  <c:v>0</c:v>
                </c:pt>
                <c:pt idx="1">
                  <c:v>5.1000000000003638</c:v>
                </c:pt>
                <c:pt idx="2">
                  <c:v>10.100000000000364</c:v>
                </c:pt>
                <c:pt idx="3">
                  <c:v>15.199999999998909</c:v>
                </c:pt>
                <c:pt idx="4">
                  <c:v>20.199999999998909</c:v>
                </c:pt>
                <c:pt idx="5">
                  <c:v>25.299999999999272</c:v>
                </c:pt>
                <c:pt idx="6">
                  <c:v>30.299999999999272</c:v>
                </c:pt>
                <c:pt idx="7">
                  <c:v>35.399999999999636</c:v>
                </c:pt>
                <c:pt idx="8">
                  <c:v>40.399999999999636</c:v>
                </c:pt>
                <c:pt idx="9">
                  <c:v>45.5</c:v>
                </c:pt>
                <c:pt idx="10">
                  <c:v>50.5</c:v>
                </c:pt>
                <c:pt idx="11">
                  <c:v>55.600000000000364</c:v>
                </c:pt>
                <c:pt idx="12">
                  <c:v>60.600000000000364</c:v>
                </c:pt>
                <c:pt idx="13">
                  <c:v>65.699999999998909</c:v>
                </c:pt>
                <c:pt idx="14">
                  <c:v>70.699999999998909</c:v>
                </c:pt>
                <c:pt idx="15">
                  <c:v>75.799999999999272</c:v>
                </c:pt>
                <c:pt idx="16">
                  <c:v>80.799999999999272</c:v>
                </c:pt>
                <c:pt idx="17">
                  <c:v>85.899999999999636</c:v>
                </c:pt>
                <c:pt idx="18">
                  <c:v>90.899999999999636</c:v>
                </c:pt>
                <c:pt idx="19">
                  <c:v>96</c:v>
                </c:pt>
                <c:pt idx="20">
                  <c:v>101</c:v>
                </c:pt>
                <c:pt idx="21">
                  <c:v>106.10000000000036</c:v>
                </c:pt>
                <c:pt idx="22">
                  <c:v>111.10000000000036</c:v>
                </c:pt>
                <c:pt idx="23">
                  <c:v>116.19999999999891</c:v>
                </c:pt>
                <c:pt idx="24">
                  <c:v>121.19999999999891</c:v>
                </c:pt>
                <c:pt idx="25">
                  <c:v>126.29999999999927</c:v>
                </c:pt>
                <c:pt idx="26">
                  <c:v>131.29999999999927</c:v>
                </c:pt>
                <c:pt idx="27">
                  <c:v>136.39999999999964</c:v>
                </c:pt>
                <c:pt idx="28">
                  <c:v>141.39999999999964</c:v>
                </c:pt>
                <c:pt idx="29">
                  <c:v>146.5</c:v>
                </c:pt>
                <c:pt idx="30">
                  <c:v>151.5</c:v>
                </c:pt>
                <c:pt idx="31">
                  <c:v>156.60000000000036</c:v>
                </c:pt>
                <c:pt idx="32">
                  <c:v>161.60000000000036</c:v>
                </c:pt>
                <c:pt idx="33">
                  <c:v>166.69999999999891</c:v>
                </c:pt>
                <c:pt idx="34">
                  <c:v>171.69999999999891</c:v>
                </c:pt>
                <c:pt idx="35">
                  <c:v>176.79999999999927</c:v>
                </c:pt>
                <c:pt idx="36">
                  <c:v>181.79999999999927</c:v>
                </c:pt>
                <c:pt idx="37">
                  <c:v>186.89999999999964</c:v>
                </c:pt>
                <c:pt idx="38">
                  <c:v>191.89999999999964</c:v>
                </c:pt>
                <c:pt idx="39">
                  <c:v>197</c:v>
                </c:pt>
                <c:pt idx="40">
                  <c:v>202</c:v>
                </c:pt>
                <c:pt idx="41">
                  <c:v>207.10000000000036</c:v>
                </c:pt>
                <c:pt idx="42">
                  <c:v>212.10000000000036</c:v>
                </c:pt>
                <c:pt idx="43">
                  <c:v>217.19999999999891</c:v>
                </c:pt>
                <c:pt idx="44">
                  <c:v>222.19999999999891</c:v>
                </c:pt>
                <c:pt idx="45">
                  <c:v>227.29999999999927</c:v>
                </c:pt>
                <c:pt idx="46">
                  <c:v>232.29999999999927</c:v>
                </c:pt>
                <c:pt idx="47">
                  <c:v>237.39999999999964</c:v>
                </c:pt>
                <c:pt idx="48">
                  <c:v>242.39999999999964</c:v>
                </c:pt>
                <c:pt idx="49">
                  <c:v>247.5</c:v>
                </c:pt>
                <c:pt idx="50">
                  <c:v>252.5</c:v>
                </c:pt>
                <c:pt idx="51">
                  <c:v>257.60000000000036</c:v>
                </c:pt>
                <c:pt idx="52">
                  <c:v>262.60000000000036</c:v>
                </c:pt>
                <c:pt idx="53">
                  <c:v>267.69999999999891</c:v>
                </c:pt>
                <c:pt idx="54">
                  <c:v>272.69999999999891</c:v>
                </c:pt>
                <c:pt idx="55">
                  <c:v>277.79999999999927</c:v>
                </c:pt>
                <c:pt idx="56">
                  <c:v>282.79999999999927</c:v>
                </c:pt>
                <c:pt idx="57">
                  <c:v>287.89999999999964</c:v>
                </c:pt>
                <c:pt idx="58">
                  <c:v>292.89999999999964</c:v>
                </c:pt>
                <c:pt idx="59">
                  <c:v>298</c:v>
                </c:pt>
                <c:pt idx="60">
                  <c:v>303</c:v>
                </c:pt>
                <c:pt idx="61">
                  <c:v>308.10000000000036</c:v>
                </c:pt>
                <c:pt idx="62">
                  <c:v>313.10000000000036</c:v>
                </c:pt>
                <c:pt idx="63">
                  <c:v>318.19999999999891</c:v>
                </c:pt>
                <c:pt idx="64">
                  <c:v>323.19999999999891</c:v>
                </c:pt>
                <c:pt idx="65">
                  <c:v>328.29999999999927</c:v>
                </c:pt>
                <c:pt idx="66">
                  <c:v>333.29999999999927</c:v>
                </c:pt>
                <c:pt idx="67">
                  <c:v>338.39999999999964</c:v>
                </c:pt>
                <c:pt idx="68">
                  <c:v>343.39999999999964</c:v>
                </c:pt>
                <c:pt idx="69">
                  <c:v>348.5</c:v>
                </c:pt>
                <c:pt idx="70">
                  <c:v>353.5</c:v>
                </c:pt>
                <c:pt idx="71">
                  <c:v>358.60000000000036</c:v>
                </c:pt>
                <c:pt idx="72">
                  <c:v>363.60000000000036</c:v>
                </c:pt>
                <c:pt idx="73">
                  <c:v>368.69999999999891</c:v>
                </c:pt>
                <c:pt idx="74">
                  <c:v>373.69999999999891</c:v>
                </c:pt>
                <c:pt idx="75">
                  <c:v>378.79999999999927</c:v>
                </c:pt>
                <c:pt idx="76">
                  <c:v>383.79999999999927</c:v>
                </c:pt>
                <c:pt idx="77">
                  <c:v>388.89999999999964</c:v>
                </c:pt>
                <c:pt idx="78">
                  <c:v>393.89999999999964</c:v>
                </c:pt>
                <c:pt idx="79">
                  <c:v>399</c:v>
                </c:pt>
                <c:pt idx="80">
                  <c:v>404</c:v>
                </c:pt>
                <c:pt idx="81">
                  <c:v>409.10000000000036</c:v>
                </c:pt>
                <c:pt idx="82">
                  <c:v>414.10000000000036</c:v>
                </c:pt>
                <c:pt idx="83">
                  <c:v>419.19999999999891</c:v>
                </c:pt>
                <c:pt idx="84">
                  <c:v>424.19999999999891</c:v>
                </c:pt>
                <c:pt idx="85">
                  <c:v>429.29999999999927</c:v>
                </c:pt>
                <c:pt idx="86">
                  <c:v>434.29999999999927</c:v>
                </c:pt>
                <c:pt idx="87">
                  <c:v>439.39999999999964</c:v>
                </c:pt>
                <c:pt idx="88">
                  <c:v>444.5</c:v>
                </c:pt>
                <c:pt idx="89">
                  <c:v>449.5</c:v>
                </c:pt>
                <c:pt idx="90">
                  <c:v>454.60000000000036</c:v>
                </c:pt>
                <c:pt idx="91">
                  <c:v>459.60000000000036</c:v>
                </c:pt>
                <c:pt idx="92">
                  <c:v>464.69999999999891</c:v>
                </c:pt>
                <c:pt idx="93">
                  <c:v>469.69999999999891</c:v>
                </c:pt>
                <c:pt idx="94">
                  <c:v>474.79999999999927</c:v>
                </c:pt>
                <c:pt idx="95">
                  <c:v>479.79999999999927</c:v>
                </c:pt>
                <c:pt idx="96">
                  <c:v>484.89999999999964</c:v>
                </c:pt>
                <c:pt idx="97">
                  <c:v>489.89999999999964</c:v>
                </c:pt>
                <c:pt idx="98">
                  <c:v>497.89999999999964</c:v>
                </c:pt>
                <c:pt idx="99">
                  <c:v>515.10000000000036</c:v>
                </c:pt>
                <c:pt idx="100">
                  <c:v>532.39999999999964</c:v>
                </c:pt>
                <c:pt idx="101">
                  <c:v>549.60000000000036</c:v>
                </c:pt>
                <c:pt idx="102">
                  <c:v>566.89999999999964</c:v>
                </c:pt>
                <c:pt idx="103">
                  <c:v>584.10000000000036</c:v>
                </c:pt>
                <c:pt idx="104">
                  <c:v>601.39999999999964</c:v>
                </c:pt>
                <c:pt idx="105">
                  <c:v>618.60000000000036</c:v>
                </c:pt>
                <c:pt idx="106">
                  <c:v>635.79999999999927</c:v>
                </c:pt>
                <c:pt idx="107">
                  <c:v>653.10000000000036</c:v>
                </c:pt>
                <c:pt idx="108">
                  <c:v>670.29999999999927</c:v>
                </c:pt>
                <c:pt idx="109">
                  <c:v>687.60000000000036</c:v>
                </c:pt>
                <c:pt idx="110">
                  <c:v>704.79999999999927</c:v>
                </c:pt>
                <c:pt idx="111">
                  <c:v>722</c:v>
                </c:pt>
                <c:pt idx="112">
                  <c:v>739.29999999999927</c:v>
                </c:pt>
                <c:pt idx="113">
                  <c:v>756.5</c:v>
                </c:pt>
                <c:pt idx="114">
                  <c:v>773.79999999999927</c:v>
                </c:pt>
                <c:pt idx="115">
                  <c:v>791</c:v>
                </c:pt>
                <c:pt idx="116">
                  <c:v>808.19999999999891</c:v>
                </c:pt>
                <c:pt idx="117">
                  <c:v>825.5</c:v>
                </c:pt>
                <c:pt idx="118">
                  <c:v>842.69999999999891</c:v>
                </c:pt>
                <c:pt idx="119">
                  <c:v>860</c:v>
                </c:pt>
                <c:pt idx="120">
                  <c:v>877.19999999999891</c:v>
                </c:pt>
                <c:pt idx="121">
                  <c:v>894.5</c:v>
                </c:pt>
                <c:pt idx="122">
                  <c:v>911.69999999999891</c:v>
                </c:pt>
                <c:pt idx="123">
                  <c:v>928.89999999999964</c:v>
                </c:pt>
                <c:pt idx="124">
                  <c:v>946.19999999999891</c:v>
                </c:pt>
                <c:pt idx="125">
                  <c:v>963.39999999999964</c:v>
                </c:pt>
                <c:pt idx="126">
                  <c:v>980.69999999999891</c:v>
                </c:pt>
                <c:pt idx="127">
                  <c:v>997.89999999999964</c:v>
                </c:pt>
              </c:numCache>
            </c:numRef>
          </c:xVal>
          <c:yVal>
            <c:numRef>
              <c:f>'Z1 data'!$AA$6:$AA$133</c:f>
              <c:numCache>
                <c:formatCode>_(* #,##0.00_);_(* \(#,##0.00\);_(* "-"??_);_(@_)</c:formatCode>
                <c:ptCount val="128"/>
                <c:pt idx="0">
                  <c:v>21239.84807907679</c:v>
                </c:pt>
                <c:pt idx="1">
                  <c:v>21121.396503871063</c:v>
                </c:pt>
                <c:pt idx="2">
                  <c:v>20862.283683108537</c:v>
                </c:pt>
                <c:pt idx="3">
                  <c:v>21558.186687442179</c:v>
                </c:pt>
                <c:pt idx="4">
                  <c:v>20558.751521643862</c:v>
                </c:pt>
                <c:pt idx="5">
                  <c:v>20869.686906558891</c:v>
                </c:pt>
                <c:pt idx="6">
                  <c:v>19899.864634562011</c:v>
                </c:pt>
                <c:pt idx="7">
                  <c:v>19870.251740760577</c:v>
                </c:pt>
                <c:pt idx="8">
                  <c:v>19581.526026196621</c:v>
                </c:pt>
                <c:pt idx="9">
                  <c:v>19329.816428884453</c:v>
                </c:pt>
                <c:pt idx="10">
                  <c:v>19322.413205434095</c:v>
                </c:pt>
                <c:pt idx="11">
                  <c:v>18789.381117008325</c:v>
                </c:pt>
                <c:pt idx="12">
                  <c:v>19085.510055022642</c:v>
                </c:pt>
                <c:pt idx="13">
                  <c:v>18241.542581681839</c:v>
                </c:pt>
                <c:pt idx="14">
                  <c:v>17819.558845011445</c:v>
                </c:pt>
                <c:pt idx="15">
                  <c:v>18152.703900277545</c:v>
                </c:pt>
                <c:pt idx="16">
                  <c:v>17449.397672493546</c:v>
                </c:pt>
                <c:pt idx="17">
                  <c:v>16664.655986755613</c:v>
                </c:pt>
                <c:pt idx="18">
                  <c:v>16701.672104007401</c:v>
                </c:pt>
                <c:pt idx="19">
                  <c:v>16842.3333495642</c:v>
                </c:pt>
                <c:pt idx="20">
                  <c:v>17256.913862784244</c:v>
                </c:pt>
                <c:pt idx="21">
                  <c:v>16464.768953595951</c:v>
                </c:pt>
                <c:pt idx="22">
                  <c:v>16635.04309295418</c:v>
                </c:pt>
                <c:pt idx="23">
                  <c:v>16287.091590787362</c:v>
                </c:pt>
                <c:pt idx="24">
                  <c:v>15406.108000194768</c:v>
                </c:pt>
                <c:pt idx="25">
                  <c:v>15376.49510639334</c:v>
                </c:pt>
                <c:pt idx="26">
                  <c:v>15398.704776744411</c:v>
                </c:pt>
                <c:pt idx="27">
                  <c:v>14480.705068900035</c:v>
                </c:pt>
                <c:pt idx="28">
                  <c:v>14754.624336563276</c:v>
                </c:pt>
                <c:pt idx="29">
                  <c:v>14939.70492282222</c:v>
                </c:pt>
                <c:pt idx="30">
                  <c:v>14465.898621999318</c:v>
                </c:pt>
                <c:pt idx="31">
                  <c:v>13947.672980474264</c:v>
                </c:pt>
                <c:pt idx="32">
                  <c:v>13984.689097726055</c:v>
                </c:pt>
                <c:pt idx="33">
                  <c:v>14021.705214977845</c:v>
                </c:pt>
                <c:pt idx="34">
                  <c:v>13436.850562399572</c:v>
                </c:pt>
                <c:pt idx="35">
                  <c:v>12889.012027073088</c:v>
                </c:pt>
                <c:pt idx="36">
                  <c:v>13185.140965087401</c:v>
                </c:pt>
                <c:pt idx="37">
                  <c:v>12015.431659930857</c:v>
                </c:pt>
                <c:pt idx="38">
                  <c:v>12111.673564785508</c:v>
                </c:pt>
                <c:pt idx="39">
                  <c:v>12215.318693090518</c:v>
                </c:pt>
                <c:pt idx="40">
                  <c:v>11586.044699810098</c:v>
                </c:pt>
                <c:pt idx="41">
                  <c:v>12563.270195257339</c:v>
                </c:pt>
                <c:pt idx="42">
                  <c:v>11349.141549398644</c:v>
                </c:pt>
                <c:pt idx="43">
                  <c:v>11437.980230802939</c:v>
                </c:pt>
                <c:pt idx="44">
                  <c:v>10423.738618103911</c:v>
                </c:pt>
                <c:pt idx="45">
                  <c:v>10808.706237522521</c:v>
                </c:pt>
                <c:pt idx="46">
                  <c:v>10394.125724302479</c:v>
                </c:pt>
                <c:pt idx="47">
                  <c:v>10890.141695476459</c:v>
                </c:pt>
                <c:pt idx="48">
                  <c:v>10742.077226469301</c:v>
                </c:pt>
                <c:pt idx="49">
                  <c:v>10423.738618103911</c:v>
                </c:pt>
                <c:pt idx="50">
                  <c:v>10223.851584944246</c:v>
                </c:pt>
                <c:pt idx="51">
                  <c:v>9720.4323903199092</c:v>
                </c:pt>
                <c:pt idx="52">
                  <c:v>9387.2873350538048</c:v>
                </c:pt>
                <c:pt idx="53">
                  <c:v>9328.0615474509414</c:v>
                </c:pt>
                <c:pt idx="54">
                  <c:v>9268.8357598480779</c:v>
                </c:pt>
                <c:pt idx="55">
                  <c:v>8269.4005940497645</c:v>
                </c:pt>
                <c:pt idx="56">
                  <c:v>8654.368213468375</c:v>
                </c:pt>
                <c:pt idx="57">
                  <c:v>8935.6907045819753</c:v>
                </c:pt>
                <c:pt idx="58">
                  <c:v>8528.5134148122888</c:v>
                </c:pt>
                <c:pt idx="59">
                  <c:v>8099.1264546915318</c:v>
                </c:pt>
                <c:pt idx="60">
                  <c:v>8039.9006670886693</c:v>
                </c:pt>
                <c:pt idx="61">
                  <c:v>7588.3040366168379</c:v>
                </c:pt>
                <c:pt idx="62">
                  <c:v>7173.7235233967958</c:v>
                </c:pt>
                <c:pt idx="63">
                  <c:v>7743.7717290743549</c:v>
                </c:pt>
                <c:pt idx="64">
                  <c:v>7262.56220480109</c:v>
                </c:pt>
                <c:pt idx="65">
                  <c:v>6877.5945853824805</c:v>
                </c:pt>
                <c:pt idx="66">
                  <c:v>7277.3686517018059</c:v>
                </c:pt>
                <c:pt idx="67">
                  <c:v>6566.6592004674485</c:v>
                </c:pt>
                <c:pt idx="68">
                  <c:v>6440.8044018113651</c:v>
                </c:pt>
                <c:pt idx="69">
                  <c:v>6492.6269659638701</c:v>
                </c:pt>
                <c:pt idx="70">
                  <c:v>5848.5465257827327</c:v>
                </c:pt>
                <c:pt idx="71">
                  <c:v>6314.9496031552799</c:v>
                </c:pt>
                <c:pt idx="72">
                  <c:v>5715.2885036762909</c:v>
                </c:pt>
                <c:pt idx="73">
                  <c:v>5663.4659395237859</c:v>
                </c:pt>
                <c:pt idx="74">
                  <c:v>5848.5465257827327</c:v>
                </c:pt>
                <c:pt idx="75">
                  <c:v>5574.6272581194926</c:v>
                </c:pt>
                <c:pt idx="76">
                  <c:v>5241.4822028533854</c:v>
                </c:pt>
                <c:pt idx="77">
                  <c:v>5219.272532502313</c:v>
                </c:pt>
                <c:pt idx="78">
                  <c:v>5241.4822028533854</c:v>
                </c:pt>
                <c:pt idx="79">
                  <c:v>4597.4017626722498</c:v>
                </c:pt>
                <c:pt idx="80">
                  <c:v>4730.6597847786916</c:v>
                </c:pt>
                <c:pt idx="81">
                  <c:v>4464.1437405658071</c:v>
                </c:pt>
                <c:pt idx="82">
                  <c:v>4634.417879924039</c:v>
                </c:pt>
                <c:pt idx="83">
                  <c:v>4130.9986852997035</c:v>
                </c:pt>
                <c:pt idx="84">
                  <c:v>3864.4826410868186</c:v>
                </c:pt>
                <c:pt idx="85">
                  <c:v>4219.8373667039978</c:v>
                </c:pt>
                <c:pt idx="86">
                  <c:v>3886.6923114378919</c:v>
                </c:pt>
                <c:pt idx="87">
                  <c:v>3516.5311389199978</c:v>
                </c:pt>
                <c:pt idx="88">
                  <c:v>3568.3537030725033</c:v>
                </c:pt>
                <c:pt idx="89">
                  <c:v>3634.9827141257242</c:v>
                </c:pt>
                <c:pt idx="90">
                  <c:v>3664.5956079271559</c:v>
                </c:pt>
                <c:pt idx="91">
                  <c:v>3746.0310658810927</c:v>
                </c:pt>
                <c:pt idx="92">
                  <c:v>3087.1441787992403</c:v>
                </c:pt>
                <c:pt idx="93">
                  <c:v>2665.1604421288407</c:v>
                </c:pt>
                <c:pt idx="94">
                  <c:v>3242.6118712567559</c:v>
                </c:pt>
                <c:pt idx="95">
                  <c:v>2813.2249111359988</c:v>
                </c:pt>
                <c:pt idx="96">
                  <c:v>2894.6603690899351</c:v>
                </c:pt>
                <c:pt idx="97">
                  <c:v>2450.4669620684617</c:v>
                </c:pt>
                <c:pt idx="98">
                  <c:v>2783.6120173345666</c:v>
                </c:pt>
                <c:pt idx="99">
                  <c:v>2494.8863027706093</c:v>
                </c:pt>
                <c:pt idx="100">
                  <c:v>2272.7895992598728</c:v>
                </c:pt>
                <c:pt idx="101">
                  <c:v>2095.112236451283</c:v>
                </c:pt>
                <c:pt idx="102">
                  <c:v>1961.8542143448412</c:v>
                </c:pt>
                <c:pt idx="103">
                  <c:v>1761.9671811851779</c:v>
                </c:pt>
                <c:pt idx="104">
                  <c:v>1687.9349466815991</c:v>
                </c:pt>
                <c:pt idx="105">
                  <c:v>1510.2575838730095</c:v>
                </c:pt>
                <c:pt idx="106">
                  <c:v>1339.9834445147783</c:v>
                </c:pt>
                <c:pt idx="107">
                  <c:v>1236.3383162097678</c:v>
                </c:pt>
                <c:pt idx="108">
                  <c:v>1080.870623752252</c:v>
                </c:pt>
                <c:pt idx="109">
                  <c:v>969.82227199688384</c:v>
                </c:pt>
                <c:pt idx="110">
                  <c:v>843.96747334079953</c:v>
                </c:pt>
                <c:pt idx="111">
                  <c:v>695.90300433364166</c:v>
                </c:pt>
                <c:pt idx="112">
                  <c:v>621.87076983006284</c:v>
                </c:pt>
                <c:pt idx="113">
                  <c:v>555.24175877684172</c:v>
                </c:pt>
                <c:pt idx="114">
                  <c:v>451.59663047183136</c:v>
                </c:pt>
                <c:pt idx="115">
                  <c:v>340.5482787164629</c:v>
                </c:pt>
                <c:pt idx="116">
                  <c:v>325.74183181574722</c:v>
                </c:pt>
                <c:pt idx="117">
                  <c:v>333.14505526610509</c:v>
                </c:pt>
                <c:pt idx="118">
                  <c:v>251.70959731216828</c:v>
                </c:pt>
                <c:pt idx="119">
                  <c:v>266.51604421288403</c:v>
                </c:pt>
                <c:pt idx="120">
                  <c:v>214.69348006037882</c:v>
                </c:pt>
                <c:pt idx="121">
                  <c:v>133.25802210644201</c:v>
                </c:pt>
                <c:pt idx="122">
                  <c:v>192.48380970930512</c:v>
                </c:pt>
                <c:pt idx="123">
                  <c:v>170.27413935823145</c:v>
                </c:pt>
                <c:pt idx="124">
                  <c:v>140.66124555679991</c:v>
                </c:pt>
                <c:pt idx="125">
                  <c:v>74.032234503578906</c:v>
                </c:pt>
                <c:pt idx="126">
                  <c:v>133.25802210644201</c:v>
                </c:pt>
                <c:pt idx="127">
                  <c:v>125.85479865608414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70-4E35-96EF-D298ADB53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9639263"/>
        <c:axId val="1"/>
      </c:scatterChart>
      <c:valAx>
        <c:axId val="1909639263"/>
        <c:scaling>
          <c:orientation val="minMax"/>
          <c:max val="1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fr-FR"/>
                  <a:t>Microns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fr-FR"/>
                  <a:t>Zr,</a:t>
                </a:r>
                <a:r>
                  <a:rPr lang="fr-FR" baseline="0"/>
                  <a:t> ppm</a:t>
                </a:r>
                <a:endParaRPr lang="fr-FR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E+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09639263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fr-FR"/>
              <a:t>Z1:</a:t>
            </a:r>
            <a:r>
              <a:rPr lang="fr-FR" baseline="0"/>
              <a:t> </a:t>
            </a:r>
            <a:r>
              <a:rPr lang="fr-FR"/>
              <a:t>Zr corrected profile, 0.5</a:t>
            </a:r>
            <a:r>
              <a:rPr lang="fr-FR" baseline="0"/>
              <a:t> GPa, 1300°C, 5h</a:t>
            </a:r>
            <a:endParaRPr lang="fr-FR"/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785258092738408"/>
          <c:y val="0.17222258675998833"/>
          <c:w val="0.74722922134733161"/>
          <c:h val="0.65262163282221297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8663604549431328E-3"/>
                  <c:y val="0.3526027996500437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'Z1 data'!$AB$6:$AB$120</c:f>
              <c:numCache>
                <c:formatCode>General</c:formatCode>
                <c:ptCount val="115"/>
                <c:pt idx="0">
                  <c:v>0</c:v>
                </c:pt>
                <c:pt idx="1">
                  <c:v>5.1000000000003638</c:v>
                </c:pt>
                <c:pt idx="2">
                  <c:v>10.100000000000364</c:v>
                </c:pt>
                <c:pt idx="3">
                  <c:v>15.199999999998909</c:v>
                </c:pt>
                <c:pt idx="4">
                  <c:v>20.199999999998909</c:v>
                </c:pt>
                <c:pt idx="5">
                  <c:v>25.299999999999272</c:v>
                </c:pt>
                <c:pt idx="6">
                  <c:v>30.299999999999272</c:v>
                </c:pt>
                <c:pt idx="7">
                  <c:v>35.399999999999636</c:v>
                </c:pt>
                <c:pt idx="8">
                  <c:v>40.399999999999636</c:v>
                </c:pt>
                <c:pt idx="9">
                  <c:v>45.5</c:v>
                </c:pt>
                <c:pt idx="10">
                  <c:v>50.5</c:v>
                </c:pt>
                <c:pt idx="11">
                  <c:v>55.600000000000364</c:v>
                </c:pt>
                <c:pt idx="12">
                  <c:v>60.600000000000364</c:v>
                </c:pt>
                <c:pt idx="13">
                  <c:v>65.699999999998909</c:v>
                </c:pt>
                <c:pt idx="14">
                  <c:v>70.699999999998909</c:v>
                </c:pt>
                <c:pt idx="15">
                  <c:v>75.799999999999272</c:v>
                </c:pt>
                <c:pt idx="16">
                  <c:v>80.799999999999272</c:v>
                </c:pt>
                <c:pt idx="17">
                  <c:v>85.899999999999636</c:v>
                </c:pt>
                <c:pt idx="18">
                  <c:v>90.899999999999636</c:v>
                </c:pt>
                <c:pt idx="19">
                  <c:v>96</c:v>
                </c:pt>
                <c:pt idx="20">
                  <c:v>101</c:v>
                </c:pt>
                <c:pt idx="21">
                  <c:v>106.10000000000036</c:v>
                </c:pt>
                <c:pt idx="22">
                  <c:v>111.10000000000036</c:v>
                </c:pt>
                <c:pt idx="23">
                  <c:v>116.19999999999891</c:v>
                </c:pt>
                <c:pt idx="24">
                  <c:v>121.19999999999891</c:v>
                </c:pt>
                <c:pt idx="25">
                  <c:v>126.29999999999927</c:v>
                </c:pt>
                <c:pt idx="26">
                  <c:v>131.29999999999927</c:v>
                </c:pt>
                <c:pt idx="27">
                  <c:v>136.39999999999964</c:v>
                </c:pt>
                <c:pt idx="28">
                  <c:v>141.39999999999964</c:v>
                </c:pt>
                <c:pt idx="29">
                  <c:v>146.5</c:v>
                </c:pt>
                <c:pt idx="30">
                  <c:v>151.5</c:v>
                </c:pt>
                <c:pt idx="31">
                  <c:v>156.60000000000036</c:v>
                </c:pt>
                <c:pt idx="32">
                  <c:v>161.60000000000036</c:v>
                </c:pt>
                <c:pt idx="33">
                  <c:v>166.69999999999891</c:v>
                </c:pt>
                <c:pt idx="34">
                  <c:v>171.69999999999891</c:v>
                </c:pt>
                <c:pt idx="35">
                  <c:v>176.79999999999927</c:v>
                </c:pt>
                <c:pt idx="36">
                  <c:v>181.79999999999927</c:v>
                </c:pt>
                <c:pt idx="37">
                  <c:v>186.89999999999964</c:v>
                </c:pt>
                <c:pt idx="38">
                  <c:v>191.89999999999964</c:v>
                </c:pt>
                <c:pt idx="39">
                  <c:v>197</c:v>
                </c:pt>
                <c:pt idx="40">
                  <c:v>202</c:v>
                </c:pt>
                <c:pt idx="41">
                  <c:v>207.10000000000036</c:v>
                </c:pt>
                <c:pt idx="42">
                  <c:v>212.10000000000036</c:v>
                </c:pt>
                <c:pt idx="43">
                  <c:v>217.19999999999891</c:v>
                </c:pt>
                <c:pt idx="44">
                  <c:v>222.19999999999891</c:v>
                </c:pt>
                <c:pt idx="45">
                  <c:v>227.29999999999927</c:v>
                </c:pt>
                <c:pt idx="46">
                  <c:v>232.29999999999927</c:v>
                </c:pt>
                <c:pt idx="47">
                  <c:v>237.39999999999964</c:v>
                </c:pt>
                <c:pt idx="48">
                  <c:v>242.39999999999964</c:v>
                </c:pt>
                <c:pt idx="49">
                  <c:v>247.5</c:v>
                </c:pt>
                <c:pt idx="50">
                  <c:v>252.5</c:v>
                </c:pt>
                <c:pt idx="51">
                  <c:v>257.60000000000036</c:v>
                </c:pt>
                <c:pt idx="52">
                  <c:v>262.60000000000036</c:v>
                </c:pt>
                <c:pt idx="53">
                  <c:v>267.69999999999891</c:v>
                </c:pt>
                <c:pt idx="54">
                  <c:v>272.69999999999891</c:v>
                </c:pt>
                <c:pt idx="55">
                  <c:v>277.79999999999927</c:v>
                </c:pt>
                <c:pt idx="56">
                  <c:v>282.79999999999927</c:v>
                </c:pt>
                <c:pt idx="57">
                  <c:v>287.89999999999964</c:v>
                </c:pt>
                <c:pt idx="58">
                  <c:v>292.89999999999964</c:v>
                </c:pt>
                <c:pt idx="59">
                  <c:v>298</c:v>
                </c:pt>
                <c:pt idx="60">
                  <c:v>303</c:v>
                </c:pt>
                <c:pt idx="61">
                  <c:v>308.10000000000036</c:v>
                </c:pt>
                <c:pt idx="62">
                  <c:v>313.10000000000036</c:v>
                </c:pt>
                <c:pt idx="63">
                  <c:v>318.19999999999891</c:v>
                </c:pt>
                <c:pt idx="64">
                  <c:v>323.19999999999891</c:v>
                </c:pt>
                <c:pt idx="65">
                  <c:v>328.29999999999927</c:v>
                </c:pt>
                <c:pt idx="66">
                  <c:v>333.29999999999927</c:v>
                </c:pt>
                <c:pt idx="67">
                  <c:v>338.39999999999964</c:v>
                </c:pt>
                <c:pt idx="68">
                  <c:v>343.39999999999964</c:v>
                </c:pt>
                <c:pt idx="69">
                  <c:v>348.5</c:v>
                </c:pt>
                <c:pt idx="70">
                  <c:v>353.5</c:v>
                </c:pt>
                <c:pt idx="71">
                  <c:v>358.60000000000036</c:v>
                </c:pt>
                <c:pt idx="72">
                  <c:v>363.60000000000036</c:v>
                </c:pt>
                <c:pt idx="73">
                  <c:v>368.69999999999891</c:v>
                </c:pt>
                <c:pt idx="74">
                  <c:v>373.69999999999891</c:v>
                </c:pt>
                <c:pt idx="75">
                  <c:v>378.79999999999927</c:v>
                </c:pt>
                <c:pt idx="76">
                  <c:v>383.79999999999927</c:v>
                </c:pt>
                <c:pt idx="77">
                  <c:v>388.89999999999964</c:v>
                </c:pt>
                <c:pt idx="78">
                  <c:v>393.89999999999964</c:v>
                </c:pt>
                <c:pt idx="79">
                  <c:v>399</c:v>
                </c:pt>
                <c:pt idx="80">
                  <c:v>404</c:v>
                </c:pt>
                <c:pt idx="81">
                  <c:v>409.10000000000036</c:v>
                </c:pt>
                <c:pt idx="82">
                  <c:v>414.10000000000036</c:v>
                </c:pt>
                <c:pt idx="83">
                  <c:v>419.19999999999891</c:v>
                </c:pt>
                <c:pt idx="84">
                  <c:v>424.19999999999891</c:v>
                </c:pt>
                <c:pt idx="85">
                  <c:v>429.29999999999927</c:v>
                </c:pt>
                <c:pt idx="86">
                  <c:v>434.29999999999927</c:v>
                </c:pt>
                <c:pt idx="87">
                  <c:v>439.39999999999964</c:v>
                </c:pt>
                <c:pt idx="88">
                  <c:v>444.5</c:v>
                </c:pt>
                <c:pt idx="89">
                  <c:v>449.5</c:v>
                </c:pt>
                <c:pt idx="90">
                  <c:v>454.60000000000036</c:v>
                </c:pt>
                <c:pt idx="91">
                  <c:v>459.60000000000036</c:v>
                </c:pt>
                <c:pt idx="92">
                  <c:v>464.69999999999891</c:v>
                </c:pt>
                <c:pt idx="93">
                  <c:v>469.69999999999891</c:v>
                </c:pt>
                <c:pt idx="94">
                  <c:v>474.79999999999927</c:v>
                </c:pt>
                <c:pt idx="95">
                  <c:v>479.79999999999927</c:v>
                </c:pt>
                <c:pt idx="96">
                  <c:v>484.89999999999964</c:v>
                </c:pt>
                <c:pt idx="97">
                  <c:v>489.89999999999964</c:v>
                </c:pt>
                <c:pt idx="98">
                  <c:v>497.89999999999964</c:v>
                </c:pt>
                <c:pt idx="99">
                  <c:v>515.10000000000036</c:v>
                </c:pt>
                <c:pt idx="100">
                  <c:v>532.39999999999964</c:v>
                </c:pt>
                <c:pt idx="101">
                  <c:v>549.60000000000036</c:v>
                </c:pt>
                <c:pt idx="102">
                  <c:v>566.89999999999964</c:v>
                </c:pt>
                <c:pt idx="103">
                  <c:v>584.10000000000036</c:v>
                </c:pt>
                <c:pt idx="104">
                  <c:v>601.39999999999964</c:v>
                </c:pt>
                <c:pt idx="105">
                  <c:v>618.60000000000036</c:v>
                </c:pt>
                <c:pt idx="106">
                  <c:v>635.79999999999927</c:v>
                </c:pt>
                <c:pt idx="107">
                  <c:v>653.10000000000036</c:v>
                </c:pt>
                <c:pt idx="108">
                  <c:v>670.29999999999927</c:v>
                </c:pt>
                <c:pt idx="109">
                  <c:v>687.60000000000036</c:v>
                </c:pt>
                <c:pt idx="110">
                  <c:v>704.79999999999927</c:v>
                </c:pt>
                <c:pt idx="111">
                  <c:v>722</c:v>
                </c:pt>
                <c:pt idx="112">
                  <c:v>739.29999999999927</c:v>
                </c:pt>
                <c:pt idx="113">
                  <c:v>756.5</c:v>
                </c:pt>
                <c:pt idx="114">
                  <c:v>773.79999999999927</c:v>
                </c:pt>
              </c:numCache>
            </c:numRef>
          </c:xVal>
          <c:yVal>
            <c:numRef>
              <c:f>'Z1 data'!$AG$6:$AG$120</c:f>
              <c:numCache>
                <c:formatCode>0.00E+00</c:formatCode>
                <c:ptCount val="115"/>
                <c:pt idx="0">
                  <c:v>0</c:v>
                </c:pt>
                <c:pt idx="2">
                  <c:v>1.0841357594983562E-2</c:v>
                </c:pt>
                <c:pt idx="4">
                  <c:v>2.1908380412288889E-2</c:v>
                </c:pt>
                <c:pt idx="5">
                  <c:v>8.3843307468168728E-3</c:v>
                </c:pt>
                <c:pt idx="6">
                  <c:v>4.9493071345381931E-2</c:v>
                </c:pt>
                <c:pt idx="7">
                  <c:v>5.0645321945247644E-2</c:v>
                </c:pt>
                <c:pt idx="8">
                  <c:v>6.2890660641907653E-2</c:v>
                </c:pt>
                <c:pt idx="9">
                  <c:v>7.3593484256694985E-2</c:v>
                </c:pt>
                <c:pt idx="10">
                  <c:v>7.3873362688785305E-2</c:v>
                </c:pt>
                <c:pt idx="11">
                  <c:v>9.667886759183951E-2</c:v>
                </c:pt>
                <c:pt idx="12">
                  <c:v>8.396237343475392E-2</c:v>
                </c:pt>
                <c:pt idx="13">
                  <c:v>0.12021526797228815</c:v>
                </c:pt>
                <c:pt idx="14">
                  <c:v>0.1384502003109343</c:v>
                </c:pt>
                <c:pt idx="15">
                  <c:v>0.12402642355864767</c:v>
                </c:pt>
                <c:pt idx="16">
                  <c:v>0.15451359066719228</c:v>
                </c:pt>
                <c:pt idx="17">
                  <c:v>0.18887877884427112</c:v>
                </c:pt>
                <c:pt idx="18">
                  <c:v>0.18724240454750213</c:v>
                </c:pt>
                <c:pt idx="19">
                  <c:v>0.1810493580210113</c:v>
                </c:pt>
                <c:pt idx="20">
                  <c:v>0.16288561632474943</c:v>
                </c:pt>
                <c:pt idx="21">
                  <c:v>0.19768391305865976</c:v>
                </c:pt>
                <c:pt idx="22">
                  <c:v>0.19016216430806285</c:v>
                </c:pt>
                <c:pt idx="23">
                  <c:v>0.20554744551264284</c:v>
                </c:pt>
                <c:pt idx="24">
                  <c:v>0.2449631634817056</c:v>
                </c:pt>
                <c:pt idx="25">
                  <c:v>0.24629873449659642</c:v>
                </c:pt>
                <c:pt idx="26">
                  <c:v>0.24529345210049466</c:v>
                </c:pt>
                <c:pt idx="27">
                  <c:v>0.28720276996065058</c:v>
                </c:pt>
                <c:pt idx="28">
                  <c:v>0.27459646274849048</c:v>
                </c:pt>
                <c:pt idx="29">
                  <c:v>0.26612772096347953</c:v>
                </c:pt>
                <c:pt idx="30">
                  <c:v>0.28788285475348729</c:v>
                </c:pt>
                <c:pt idx="31">
                  <c:v>0.31199482814292079</c:v>
                </c:pt>
                <c:pt idx="32">
                  <c:v>0.31025984251936761</c:v>
                </c:pt>
                <c:pt idx="33">
                  <c:v>0.3085266931681917</c:v>
                </c:pt>
                <c:pt idx="34">
                  <c:v>0.33612142738517509</c:v>
                </c:pt>
                <c:pt idx="35">
                  <c:v>0.36244123909150516</c:v>
                </c:pt>
                <c:pt idx="36">
                  <c:v>0.34815294789456575</c:v>
                </c:pt>
                <c:pt idx="37">
                  <c:v>0.40549473209324732</c:v>
                </c:pt>
                <c:pt idx="38">
                  <c:v>0.40067966308867431</c:v>
                </c:pt>
                <c:pt idx="39">
                  <c:v>0.39551463578749652</c:v>
                </c:pt>
                <c:pt idx="40">
                  <c:v>0.42721010512302005</c:v>
                </c:pt>
                <c:pt idx="41">
                  <c:v>0.37832818835489479</c:v>
                </c:pt>
                <c:pt idx="42">
                  <c:v>0.43936497365270888</c:v>
                </c:pt>
                <c:pt idx="43">
                  <c:v>0.43479186419976457</c:v>
                </c:pt>
                <c:pt idx="44">
                  <c:v>0.48816610083449391</c:v>
                </c:pt>
                <c:pt idx="45">
                  <c:v>0.46759513066401598</c:v>
                </c:pt>
                <c:pt idx="46">
                  <c:v>0.48976550335686464</c:v>
                </c:pt>
                <c:pt idx="47">
                  <c:v>0.4632944079242598</c:v>
                </c:pt>
                <c:pt idx="48">
                  <c:v>0.47112680822012437</c:v>
                </c:pt>
                <c:pt idx="49">
                  <c:v>0.48816610083449391</c:v>
                </c:pt>
                <c:pt idx="50">
                  <c:v>0.49901127051644878</c:v>
                </c:pt>
                <c:pt idx="51">
                  <c:v>0.52686288361551581</c:v>
                </c:pt>
                <c:pt idx="52">
                  <c:v>0.54575129386291277</c:v>
                </c:pt>
                <c:pt idx="53">
                  <c:v>0.54914999126555608</c:v>
                </c:pt>
                <c:pt idx="54">
                  <c:v>0.55256142291240595</c:v>
                </c:pt>
                <c:pt idx="55">
                  <c:v>0.6122298493302073</c:v>
                </c:pt>
                <c:pt idx="56">
                  <c:v>0.58875115284489676</c:v>
                </c:pt>
                <c:pt idx="57">
                  <c:v>0.57199650533091961</c:v>
                </c:pt>
                <c:pt idx="58">
                  <c:v>0.59635444785844005</c:v>
                </c:pt>
                <c:pt idx="59">
                  <c:v>0.62283234274860633</c:v>
                </c:pt>
                <c:pt idx="60">
                  <c:v>0.62499027621281167</c:v>
                </c:pt>
                <c:pt idx="61">
                  <c:v>0.65389548634053318</c:v>
                </c:pt>
                <c:pt idx="62">
                  <c:v>0.6814283150944489</c:v>
                </c:pt>
                <c:pt idx="63">
                  <c:v>0.64382317395456412</c:v>
                </c:pt>
                <c:pt idx="64">
                  <c:v>0.67544227895169295</c:v>
                </c:pt>
                <c:pt idx="65">
                  <c:v>0.70174456101041716</c:v>
                </c:pt>
                <c:pt idx="66">
                  <c:v>0.67444930701915773</c:v>
                </c:pt>
                <c:pt idx="67">
                  <c:v>0.72371953046359372</c:v>
                </c:pt>
                <c:pt idx="68">
                  <c:v>0.7328155292983074</c:v>
                </c:pt>
                <c:pt idx="69">
                  <c:v>0.72905550692414522</c:v>
                </c:pt>
                <c:pt idx="70">
                  <c:v>0.77735636178541467</c:v>
                </c:pt>
                <c:pt idx="71">
                  <c:v>0.74203443586298468</c:v>
                </c:pt>
                <c:pt idx="72">
                  <c:v>0.78781109810540006</c:v>
                </c:pt>
                <c:pt idx="73">
                  <c:v>0.79192366915135504</c:v>
                </c:pt>
                <c:pt idx="74">
                  <c:v>0.77735636178541467</c:v>
                </c:pt>
                <c:pt idx="75">
                  <c:v>0.79903679964482421</c:v>
                </c:pt>
                <c:pt idx="76">
                  <c:v>0.8264617124812782</c:v>
                </c:pt>
                <c:pt idx="77">
                  <c:v>0.82833453740604679</c:v>
                </c:pt>
                <c:pt idx="78">
                  <c:v>0.8264617124812782</c:v>
                </c:pt>
                <c:pt idx="79">
                  <c:v>0.88333842420927811</c:v>
                </c:pt>
                <c:pt idx="80">
                  <c:v>0.87110549403969373</c:v>
                </c:pt>
                <c:pt idx="81">
                  <c:v>0.89584159985901823</c:v>
                </c:pt>
                <c:pt idx="82">
                  <c:v>0.87991394225691555</c:v>
                </c:pt>
                <c:pt idx="83">
                  <c:v>0.92839265021150175</c:v>
                </c:pt>
                <c:pt idx="84">
                  <c:v>0.95592555561418979</c:v>
                </c:pt>
                <c:pt idx="85">
                  <c:v>0.9195211275057219</c:v>
                </c:pt>
                <c:pt idx="86">
                  <c:v>0.95357557129299608</c:v>
                </c:pt>
                <c:pt idx="87">
                  <c:v>0.99420996558033081</c:v>
                </c:pt>
                <c:pt idx="88">
                  <c:v>0.98832285937888276</c:v>
                </c:pt>
                <c:pt idx="89">
                  <c:v>0.98085295894130964</c:v>
                </c:pt>
                <c:pt idx="90">
                  <c:v>0.97756786687909303</c:v>
                </c:pt>
                <c:pt idx="91">
                  <c:v>0.96864096280012679</c:v>
                </c:pt>
                <c:pt idx="92">
                  <c:v>1.0458835154357062</c:v>
                </c:pt>
                <c:pt idx="93">
                  <c:v>1.1027740521972755</c:v>
                </c:pt>
                <c:pt idx="94">
                  <c:v>1.0265378698370318</c:v>
                </c:pt>
                <c:pt idx="95">
                  <c:v>1.0820094382175514</c:v>
                </c:pt>
                <c:pt idx="96">
                  <c:v>1.0709756065009908</c:v>
                </c:pt>
                <c:pt idx="97">
                  <c:v>1.1346857614658965</c:v>
                </c:pt>
                <c:pt idx="98">
                  <c:v>1.0860878271276004</c:v>
                </c:pt>
                <c:pt idx="99">
                  <c:v>1.1278932717306231</c:v>
                </c:pt>
                <c:pt idx="100">
                  <c:v>1.1629610414266216</c:v>
                </c:pt>
                <c:pt idx="101">
                  <c:v>1.1932285161391085</c:v>
                </c:pt>
                <c:pt idx="102">
                  <c:v>1.2174532288678594</c:v>
                </c:pt>
                <c:pt idx="103">
                  <c:v>1.2567127781388698</c:v>
                </c:pt>
                <c:pt idx="104">
                  <c:v>1.272289091375177</c:v>
                </c:pt>
                <c:pt idx="105">
                  <c:v>1.3124209039604529</c:v>
                </c:pt>
                <c:pt idx="106">
                  <c:v>1.3553068042272558</c:v>
                </c:pt>
                <c:pt idx="107">
                  <c:v>1.3840719574915126</c:v>
                </c:pt>
                <c:pt idx="108">
                  <c:v>1.4320548418862753</c:v>
                </c:pt>
                <c:pt idx="109">
                  <c:v>1.4708629020537201</c:v>
                </c:pt>
                <c:pt idx="110">
                  <c:v>1.5209882799302763</c:v>
                </c:pt>
                <c:pt idx="111">
                  <c:v>1.5918565937513076</c:v>
                </c:pt>
                <c:pt idx="112">
                  <c:v>1.6343023805008265</c:v>
                </c:pt>
                <c:pt idx="113">
                  <c:v>1.6782975020543398</c:v>
                </c:pt>
                <c:pt idx="114">
                  <c:v>1.7631827885271794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9D-4F45-91F5-9B30206B83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9643423"/>
        <c:axId val="1"/>
      </c:scatterChart>
      <c:valAx>
        <c:axId val="1909643423"/>
        <c:scaling>
          <c:orientation val="minMax"/>
          <c:max val="8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Microns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fr-FR"/>
                  <a:t>erc</a:t>
                </a:r>
                <a:r>
                  <a:rPr lang="fr-FR" baseline="30000"/>
                  <a:t>-1</a:t>
                </a:r>
                <a:r>
                  <a:rPr lang="fr-FR"/>
                  <a:t>(1-C</a:t>
                </a:r>
                <a:r>
                  <a:rPr lang="fr-FR" baseline="-25000"/>
                  <a:t>x</a:t>
                </a:r>
                <a:r>
                  <a:rPr lang="fr-FR"/>
                  <a:t>/C</a:t>
                </a:r>
                <a:r>
                  <a:rPr lang="fr-FR" baseline="-25000"/>
                  <a:t>o</a:t>
                </a:r>
                <a:r>
                  <a:rPr lang="fr-FR"/>
                  <a:t>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E+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09643423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428625</xdr:colOff>
      <xdr:row>105</xdr:row>
      <xdr:rowOff>171450</xdr:rowOff>
    </xdr:from>
    <xdr:to>
      <xdr:col>40</xdr:col>
      <xdr:colOff>9525</xdr:colOff>
      <xdr:row>123</xdr:row>
      <xdr:rowOff>152400</xdr:rowOff>
    </xdr:to>
    <xdr:graphicFrame macro="">
      <xdr:nvGraphicFramePr>
        <xdr:cNvPr id="1027" name="Graphique 6">
          <a:extLst>
            <a:ext uri="{FF2B5EF4-FFF2-40B4-BE49-F238E27FC236}">
              <a16:creationId xmlns:a16="http://schemas.microsoft.com/office/drawing/2014/main" id="{25789707-6491-486B-929D-38D0F0AAA4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438150</xdr:colOff>
      <xdr:row>86</xdr:row>
      <xdr:rowOff>171450</xdr:rowOff>
    </xdr:from>
    <xdr:to>
      <xdr:col>39</xdr:col>
      <xdr:colOff>714375</xdr:colOff>
      <xdr:row>105</xdr:row>
      <xdr:rowOff>9525</xdr:rowOff>
    </xdr:to>
    <xdr:graphicFrame macro="">
      <xdr:nvGraphicFramePr>
        <xdr:cNvPr id="1028" name="Graphique 8">
          <a:extLst>
            <a:ext uri="{FF2B5EF4-FFF2-40B4-BE49-F238E27FC236}">
              <a16:creationId xmlns:a16="http://schemas.microsoft.com/office/drawing/2014/main" id="{C28E3A57-04F8-40A9-8C4B-F9A0B7D3E2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304800</xdr:colOff>
      <xdr:row>0</xdr:row>
      <xdr:rowOff>9525</xdr:rowOff>
    </xdr:from>
    <xdr:to>
      <xdr:col>18</xdr:col>
      <xdr:colOff>447675</xdr:colOff>
      <xdr:row>21</xdr:row>
      <xdr:rowOff>9525</xdr:rowOff>
    </xdr:to>
    <xdr:pic>
      <xdr:nvPicPr>
        <xdr:cNvPr id="2053" name="Image 3">
          <a:extLst>
            <a:ext uri="{FF2B5EF4-FFF2-40B4-BE49-F238E27FC236}">
              <a16:creationId xmlns:a16="http://schemas.microsoft.com/office/drawing/2014/main" id="{117B72C0-9C3B-4415-89D8-04E9BD847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2800" y="9525"/>
          <a:ext cx="7000875" cy="400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142875</xdr:colOff>
      <xdr:row>21</xdr:row>
      <xdr:rowOff>9525</xdr:rowOff>
    </xdr:to>
    <xdr:pic>
      <xdr:nvPicPr>
        <xdr:cNvPr id="2054" name="Image 4">
          <a:extLst>
            <a:ext uri="{FF2B5EF4-FFF2-40B4-BE49-F238E27FC236}">
              <a16:creationId xmlns:a16="http://schemas.microsoft.com/office/drawing/2014/main" id="{2F6184CF-F28E-4662-BFF3-FBAC5F4B7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00875" cy="401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295275</xdr:colOff>
      <xdr:row>21</xdr:row>
      <xdr:rowOff>133350</xdr:rowOff>
    </xdr:from>
    <xdr:to>
      <xdr:col>18</xdr:col>
      <xdr:colOff>447675</xdr:colOff>
      <xdr:row>46</xdr:row>
      <xdr:rowOff>95250</xdr:rowOff>
    </xdr:to>
    <xdr:pic>
      <xdr:nvPicPr>
        <xdr:cNvPr id="2055" name="Image 7">
          <a:extLst>
            <a:ext uri="{FF2B5EF4-FFF2-40B4-BE49-F238E27FC236}">
              <a16:creationId xmlns:a16="http://schemas.microsoft.com/office/drawing/2014/main" id="{DD02E6CD-B666-41D4-88E8-9E252C30D9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3275" y="4133850"/>
          <a:ext cx="7010400" cy="472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21</xdr:row>
      <xdr:rowOff>152400</xdr:rowOff>
    </xdr:from>
    <xdr:to>
      <xdr:col>9</xdr:col>
      <xdr:colOff>142875</xdr:colOff>
      <xdr:row>46</xdr:row>
      <xdr:rowOff>95250</xdr:rowOff>
    </xdr:to>
    <xdr:pic>
      <xdr:nvPicPr>
        <xdr:cNvPr id="2056" name="Image 10">
          <a:extLst>
            <a:ext uri="{FF2B5EF4-FFF2-40B4-BE49-F238E27FC236}">
              <a16:creationId xmlns:a16="http://schemas.microsoft.com/office/drawing/2014/main" id="{4A4B2795-F3A6-4164-B037-84CF64AC5A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52900"/>
          <a:ext cx="7000875" cy="470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65"/>
  <sheetViews>
    <sheetView workbookViewId="0">
      <selection activeCell="A2" sqref="A1:A2"/>
    </sheetView>
  </sheetViews>
  <sheetFormatPr defaultColWidth="10.85546875" defaultRowHeight="12.75"/>
  <cols>
    <col min="1" max="25" width="10.85546875" style="9"/>
    <col min="26" max="26" width="12" style="10" customWidth="1"/>
    <col min="27" max="27" width="13.7109375" style="11" bestFit="1" customWidth="1"/>
    <col min="28" max="28" width="10.85546875" style="11"/>
    <col min="29" max="29" width="16.7109375" style="9" customWidth="1"/>
    <col min="30" max="30" width="17.42578125" style="12" customWidth="1"/>
    <col min="31" max="31" width="10.85546875" style="9"/>
    <col min="32" max="32" width="12.7109375" style="9" customWidth="1"/>
    <col min="33" max="33" width="10.85546875" style="9"/>
    <col min="34" max="34" width="10" style="11" customWidth="1"/>
    <col min="35" max="35" width="15.85546875" style="9" customWidth="1"/>
    <col min="36" max="16384" width="10.85546875" style="9"/>
  </cols>
  <sheetData>
    <row r="1" spans="1:35">
      <c r="A1" s="9" t="s">
        <v>0</v>
      </c>
    </row>
    <row r="2" spans="1:35">
      <c r="A2" s="9" t="s">
        <v>1</v>
      </c>
    </row>
    <row r="3" spans="1:35" s="11" customFormat="1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 t="s">
        <v>12</v>
      </c>
      <c r="L3" s="11" t="s">
        <v>13</v>
      </c>
      <c r="M3" s="11" t="s">
        <v>14</v>
      </c>
      <c r="N3" s="11" t="s">
        <v>15</v>
      </c>
      <c r="O3" s="11" t="s">
        <v>16</v>
      </c>
      <c r="P3" s="11" t="s">
        <v>17</v>
      </c>
      <c r="Q3" s="11" t="s">
        <v>18</v>
      </c>
      <c r="R3" s="11" t="s">
        <v>19</v>
      </c>
      <c r="S3" s="11" t="s">
        <v>20</v>
      </c>
      <c r="T3" s="11" t="s">
        <v>21</v>
      </c>
      <c r="U3" s="11" t="s">
        <v>22</v>
      </c>
      <c r="V3" s="11" t="s">
        <v>3</v>
      </c>
      <c r="W3" s="11" t="s">
        <v>23</v>
      </c>
      <c r="X3" s="11" t="s">
        <v>24</v>
      </c>
      <c r="Y3" s="11" t="s">
        <v>25</v>
      </c>
      <c r="Z3" s="25" t="s">
        <v>26</v>
      </c>
      <c r="AA3" s="11" t="s">
        <v>15</v>
      </c>
      <c r="AB3" s="11" t="s">
        <v>27</v>
      </c>
      <c r="AC3" s="11" t="s">
        <v>28</v>
      </c>
      <c r="AD3" s="14" t="s">
        <v>29</v>
      </c>
      <c r="AE3" s="26" t="s">
        <v>30</v>
      </c>
      <c r="AF3" s="26" t="s">
        <v>31</v>
      </c>
      <c r="AG3" s="26" t="s">
        <v>32</v>
      </c>
    </row>
    <row r="4" spans="1:35">
      <c r="A4" s="9" t="s">
        <v>33</v>
      </c>
      <c r="B4" s="9" t="s">
        <v>34</v>
      </c>
      <c r="C4" s="9">
        <v>0</v>
      </c>
      <c r="D4" s="9">
        <v>1.4999999999999999E-2</v>
      </c>
      <c r="E4" s="9">
        <v>31.684000000000001</v>
      </c>
      <c r="F4" s="9">
        <v>1.4999999999999999E-2</v>
      </c>
      <c r="G4" s="9">
        <v>4.1000000000000002E-2</v>
      </c>
      <c r="H4" s="9">
        <v>0</v>
      </c>
      <c r="I4" s="9">
        <v>0.20300000000000001</v>
      </c>
      <c r="J4" s="9">
        <v>0</v>
      </c>
      <c r="K4" s="9">
        <v>0</v>
      </c>
      <c r="L4" s="9">
        <v>8.0000000000000002E-3</v>
      </c>
      <c r="M4" s="9">
        <v>64.864000000000004</v>
      </c>
      <c r="Q4" s="9">
        <v>1.2330000000000001</v>
      </c>
      <c r="R4" s="9">
        <v>98.063000000000002</v>
      </c>
      <c r="S4" s="9">
        <v>11074</v>
      </c>
      <c r="T4" s="9">
        <v>-998</v>
      </c>
      <c r="U4" s="9">
        <v>117</v>
      </c>
      <c r="V4" s="9" t="s">
        <v>34</v>
      </c>
      <c r="W4" s="9">
        <v>0</v>
      </c>
      <c r="X4" s="9">
        <v>24.803999999999998</v>
      </c>
      <c r="Y4" s="9">
        <v>4</v>
      </c>
      <c r="Z4" s="10">
        <v>42524.798761574071</v>
      </c>
      <c r="AA4" s="14">
        <f t="shared" ref="AA4:AA35" si="0">M4/(91.224+15.999*2)*91.224*10000</f>
        <v>480202.6858840143</v>
      </c>
      <c r="AE4" s="13"/>
      <c r="AF4" s="13"/>
      <c r="AH4" s="11" t="s">
        <v>35</v>
      </c>
    </row>
    <row r="5" spans="1:35">
      <c r="A5" s="9" t="s">
        <v>36</v>
      </c>
      <c r="B5" s="9" t="s">
        <v>34</v>
      </c>
      <c r="C5" s="9">
        <v>2.6320000000000001</v>
      </c>
      <c r="D5" s="9">
        <v>13.401999999999999</v>
      </c>
      <c r="E5" s="9">
        <v>48.512999999999998</v>
      </c>
      <c r="F5" s="9">
        <v>0.30099999999999999</v>
      </c>
      <c r="G5" s="9">
        <v>9.5990000000000002</v>
      </c>
      <c r="H5" s="9">
        <v>0.16400000000000001</v>
      </c>
      <c r="I5" s="9">
        <v>7.7539999999999996</v>
      </c>
      <c r="J5" s="9">
        <v>7.2569999999999997</v>
      </c>
      <c r="K5" s="9">
        <v>1.3779999999999999</v>
      </c>
      <c r="L5" s="9">
        <v>3.4000000000000002E-2</v>
      </c>
      <c r="M5" s="9">
        <v>7.085</v>
      </c>
      <c r="Q5" s="9">
        <v>0.11700000000000001</v>
      </c>
      <c r="R5" s="9">
        <v>98.234999999999999</v>
      </c>
      <c r="S5" s="9">
        <v>11079.1</v>
      </c>
      <c r="T5" s="9">
        <v>-998</v>
      </c>
      <c r="U5" s="9">
        <v>117</v>
      </c>
      <c r="V5" s="9" t="s">
        <v>34</v>
      </c>
      <c r="W5" s="9">
        <v>5.05</v>
      </c>
      <c r="X5" s="9">
        <v>13.625999999999999</v>
      </c>
      <c r="Y5" s="9">
        <v>5</v>
      </c>
      <c r="Z5" s="10">
        <v>42524.800578703704</v>
      </c>
      <c r="AA5" s="14">
        <f t="shared" si="0"/>
        <v>52451.838145785652</v>
      </c>
      <c r="AE5" s="13"/>
      <c r="AF5" s="13"/>
      <c r="AG5" s="15"/>
    </row>
    <row r="6" spans="1:35" ht="13.5">
      <c r="A6" s="9" t="s">
        <v>37</v>
      </c>
      <c r="B6" s="9" t="s">
        <v>34</v>
      </c>
      <c r="C6" s="9">
        <v>2.82</v>
      </c>
      <c r="D6" s="9">
        <v>14.257999999999999</v>
      </c>
      <c r="E6" s="9">
        <v>49.106999999999999</v>
      </c>
      <c r="F6" s="9">
        <v>0.28999999999999998</v>
      </c>
      <c r="G6" s="9">
        <v>10.23</v>
      </c>
      <c r="H6" s="9">
        <v>0.17499999999999999</v>
      </c>
      <c r="I6" s="9">
        <v>8.1549999999999994</v>
      </c>
      <c r="J6" s="9">
        <v>7.7279999999999998</v>
      </c>
      <c r="K6" s="9">
        <v>1.458</v>
      </c>
      <c r="L6" s="9">
        <v>4.9000000000000002E-2</v>
      </c>
      <c r="M6" s="11">
        <v>2.8690000000000002</v>
      </c>
      <c r="N6" s="14">
        <f t="shared" ref="N6:N11" si="1">M6/(91.22+15.999*2)*91.22*10000</f>
        <v>21239.606226363034</v>
      </c>
      <c r="O6" s="14">
        <f>AVERAGEA(N6:N11)</f>
        <v>21034.786043164688</v>
      </c>
      <c r="P6" s="14">
        <f>STDEVA(N6:N11)</f>
        <v>348.45646191760682</v>
      </c>
      <c r="Q6" s="9">
        <v>7.1999999999999995E-2</v>
      </c>
      <c r="R6" s="9">
        <v>97.212999999999994</v>
      </c>
      <c r="S6" s="9">
        <v>11084.1</v>
      </c>
      <c r="T6" s="9">
        <v>-998</v>
      </c>
      <c r="U6" s="9">
        <v>117</v>
      </c>
      <c r="V6" s="9" t="s">
        <v>34</v>
      </c>
      <c r="W6" s="9">
        <v>10.1</v>
      </c>
      <c r="X6" s="9">
        <v>12.696</v>
      </c>
      <c r="Y6" s="9">
        <v>6</v>
      </c>
      <c r="Z6" s="10">
        <v>42524.802175925928</v>
      </c>
      <c r="AA6" s="14">
        <f t="shared" si="0"/>
        <v>21239.84807907679</v>
      </c>
      <c r="AB6" s="11">
        <v>0</v>
      </c>
      <c r="AC6" s="16"/>
      <c r="AD6" s="17">
        <v>493.62</v>
      </c>
      <c r="AE6" s="18">
        <f>1-AA6/AA$6</f>
        <v>0</v>
      </c>
      <c r="AF6" s="18">
        <f>ERF(AE6)</f>
        <v>0</v>
      </c>
      <c r="AG6" s="19">
        <f>SQRT(GAMMAINV(AE6,0.5,1))</f>
        <v>0</v>
      </c>
      <c r="AH6" s="20" t="s">
        <v>38</v>
      </c>
      <c r="AI6" s="21">
        <f>AA6-493.62+94</f>
        <v>20840.228079076791</v>
      </c>
    </row>
    <row r="7" spans="1:35" ht="14.25">
      <c r="A7" s="9" t="s">
        <v>39</v>
      </c>
      <c r="B7" s="9" t="s">
        <v>34</v>
      </c>
      <c r="C7" s="9">
        <v>2.8130000000000002</v>
      </c>
      <c r="D7" s="9">
        <v>14.311999999999999</v>
      </c>
      <c r="E7" s="9">
        <v>49.261000000000003</v>
      </c>
      <c r="F7" s="9">
        <v>0.27500000000000002</v>
      </c>
      <c r="G7" s="9">
        <v>10.071</v>
      </c>
      <c r="H7" s="9">
        <v>0.123</v>
      </c>
      <c r="I7" s="9">
        <v>8.0429999999999993</v>
      </c>
      <c r="J7" s="9">
        <v>7.7430000000000003</v>
      </c>
      <c r="K7" s="9">
        <v>1.4870000000000001</v>
      </c>
      <c r="L7" s="9">
        <v>5.0999999999999997E-2</v>
      </c>
      <c r="M7" s="11">
        <v>2.8530000000000002</v>
      </c>
      <c r="N7" s="14">
        <f t="shared" si="1"/>
        <v>21121.155999935076</v>
      </c>
      <c r="O7" s="11"/>
      <c r="P7" s="11"/>
      <c r="Q7" s="9">
        <v>5.6000000000000001E-2</v>
      </c>
      <c r="R7" s="9">
        <v>97.087999999999994</v>
      </c>
      <c r="S7" s="9">
        <v>11089.2</v>
      </c>
      <c r="T7" s="9">
        <v>-998</v>
      </c>
      <c r="U7" s="9">
        <v>117</v>
      </c>
      <c r="V7" s="9" t="s">
        <v>34</v>
      </c>
      <c r="W7" s="9">
        <v>15.15</v>
      </c>
      <c r="X7" s="9">
        <v>12.644</v>
      </c>
      <c r="Y7" s="9">
        <v>7</v>
      </c>
      <c r="Z7" s="10">
        <v>42524.803773148145</v>
      </c>
      <c r="AA7" s="14">
        <f t="shared" si="0"/>
        <v>21121.396503871063</v>
      </c>
      <c r="AB7" s="11">
        <f t="shared" ref="AB7:AB38" si="2">S7-S$6</f>
        <v>5.1000000000003638</v>
      </c>
      <c r="AC7" s="9">
        <v>5.0999999999999899</v>
      </c>
      <c r="AD7" s="12">
        <v>280.39999875000001</v>
      </c>
      <c r="AE7" s="13"/>
      <c r="AF7" s="13"/>
      <c r="AG7" s="15"/>
      <c r="AH7" s="11" t="s">
        <v>40</v>
      </c>
    </row>
    <row r="8" spans="1:35" ht="14.25">
      <c r="A8" s="9" t="s">
        <v>41</v>
      </c>
      <c r="B8" s="9" t="s">
        <v>34</v>
      </c>
      <c r="C8" s="9">
        <v>2.839</v>
      </c>
      <c r="D8" s="9">
        <v>14.45</v>
      </c>
      <c r="E8" s="9">
        <v>49.597999999999999</v>
      </c>
      <c r="F8" s="9">
        <v>0.309</v>
      </c>
      <c r="G8" s="9">
        <v>10.153</v>
      </c>
      <c r="H8" s="9">
        <v>0.14299999999999999</v>
      </c>
      <c r="I8" s="9">
        <v>8.0860000000000003</v>
      </c>
      <c r="J8" s="9">
        <v>7.657</v>
      </c>
      <c r="K8" s="9">
        <v>1.468</v>
      </c>
      <c r="L8" s="9">
        <v>4.1000000000000002E-2</v>
      </c>
      <c r="M8" s="11">
        <v>2.8180000000000001</v>
      </c>
      <c r="N8" s="14">
        <f t="shared" si="1"/>
        <v>20862.046129623919</v>
      </c>
      <c r="O8" s="11"/>
      <c r="P8" s="11"/>
      <c r="Q8" s="9">
        <v>1.4999999999999999E-2</v>
      </c>
      <c r="R8" s="9">
        <v>97.578000000000003</v>
      </c>
      <c r="S8" s="9">
        <v>11094.2</v>
      </c>
      <c r="T8" s="9">
        <v>-998</v>
      </c>
      <c r="U8" s="9">
        <v>117</v>
      </c>
      <c r="V8" s="9" t="s">
        <v>34</v>
      </c>
      <c r="W8" s="9">
        <v>20.2</v>
      </c>
      <c r="X8" s="9">
        <v>12.68</v>
      </c>
      <c r="Y8" s="9">
        <v>8</v>
      </c>
      <c r="Z8" s="10">
        <v>42524.805393518516</v>
      </c>
      <c r="AA8" s="14">
        <f t="shared" si="0"/>
        <v>20862.283683108537</v>
      </c>
      <c r="AB8" s="11">
        <f t="shared" si="2"/>
        <v>10.100000000000364</v>
      </c>
      <c r="AC8" s="9">
        <v>10.1</v>
      </c>
      <c r="AD8" s="12">
        <v>182.9875035</v>
      </c>
      <c r="AE8" s="13">
        <f t="shared" ref="AE8:AE71" si="3">1-(AA8-AD8-94)/AI$6</f>
        <v>1.2232682795069838E-2</v>
      </c>
      <c r="AF8" s="13">
        <f t="shared" ref="AF8:AF71" si="4">ERF(AE8)</f>
        <v>1.3802415962473287E-2</v>
      </c>
      <c r="AG8" s="15">
        <f t="shared" ref="AG8:AG69" si="5">SQRT(GAMMAINV(AE8,0.5,1))</f>
        <v>1.0841357594983562E-2</v>
      </c>
      <c r="AH8" s="11" t="s">
        <v>40</v>
      </c>
    </row>
    <row r="9" spans="1:35" ht="14.25">
      <c r="A9" s="9" t="s">
        <v>42</v>
      </c>
      <c r="B9" s="9" t="s">
        <v>34</v>
      </c>
      <c r="C9" s="9">
        <v>2.911</v>
      </c>
      <c r="D9" s="9">
        <v>14.25</v>
      </c>
      <c r="E9" s="9">
        <v>49.527000000000001</v>
      </c>
      <c r="F9" s="9">
        <v>0.29499999999999998</v>
      </c>
      <c r="G9" s="9">
        <v>10.288</v>
      </c>
      <c r="H9" s="9">
        <v>0.17299999999999999</v>
      </c>
      <c r="I9" s="9">
        <v>8.0030000000000001</v>
      </c>
      <c r="J9" s="9">
        <v>7.718</v>
      </c>
      <c r="K9" s="9">
        <v>1.4450000000000001</v>
      </c>
      <c r="L9" s="9">
        <v>0.03</v>
      </c>
      <c r="M9" s="11">
        <v>2.9119999999999999</v>
      </c>
      <c r="N9" s="14">
        <f t="shared" si="1"/>
        <v>21557.941209888166</v>
      </c>
      <c r="O9" s="11"/>
      <c r="P9" s="11"/>
      <c r="Q9" s="9">
        <v>6.0999999999999999E-2</v>
      </c>
      <c r="R9" s="9">
        <v>97.614000000000004</v>
      </c>
      <c r="S9" s="9">
        <v>11099.3</v>
      </c>
      <c r="T9" s="9">
        <v>-998</v>
      </c>
      <c r="U9" s="9">
        <v>117</v>
      </c>
      <c r="V9" s="9" t="s">
        <v>34</v>
      </c>
      <c r="W9" s="9">
        <v>25.25</v>
      </c>
      <c r="X9" s="9">
        <v>12.726000000000001</v>
      </c>
      <c r="Y9" s="9">
        <v>9</v>
      </c>
      <c r="Z9" s="10">
        <v>42524.807002314818</v>
      </c>
      <c r="AA9" s="14">
        <f t="shared" si="0"/>
        <v>21558.186687442179</v>
      </c>
      <c r="AB9" s="11">
        <f t="shared" si="2"/>
        <v>15.199999999998909</v>
      </c>
      <c r="AC9" s="9">
        <v>15.1999999999999</v>
      </c>
      <c r="AD9" s="12">
        <v>152.993888</v>
      </c>
      <c r="AE9" s="13"/>
      <c r="AF9" s="13"/>
      <c r="AG9" s="15"/>
      <c r="AH9" s="11" t="s">
        <v>40</v>
      </c>
      <c r="AI9" s="9" t="s">
        <v>43</v>
      </c>
    </row>
    <row r="10" spans="1:35" ht="14.25">
      <c r="A10" s="9" t="s">
        <v>44</v>
      </c>
      <c r="B10" s="9" t="s">
        <v>34</v>
      </c>
      <c r="C10" s="9">
        <v>2.879</v>
      </c>
      <c r="D10" s="9">
        <v>14.404</v>
      </c>
      <c r="E10" s="9">
        <v>49.603999999999999</v>
      </c>
      <c r="F10" s="9">
        <v>0.3</v>
      </c>
      <c r="G10" s="9">
        <v>10.028</v>
      </c>
      <c r="H10" s="9">
        <v>0.192</v>
      </c>
      <c r="I10" s="9">
        <v>8.0549999999999997</v>
      </c>
      <c r="J10" s="9">
        <v>7.7530000000000001</v>
      </c>
      <c r="K10" s="9">
        <v>1.478</v>
      </c>
      <c r="L10" s="9">
        <v>3.5999999999999997E-2</v>
      </c>
      <c r="M10" s="11">
        <v>2.7770000000000001</v>
      </c>
      <c r="N10" s="14">
        <f t="shared" si="1"/>
        <v>20558.517424402282</v>
      </c>
      <c r="O10" s="11"/>
      <c r="P10" s="11"/>
      <c r="Q10" s="9">
        <v>4.9000000000000002E-2</v>
      </c>
      <c r="R10" s="9">
        <v>97.555000000000007</v>
      </c>
      <c r="S10" s="9">
        <v>11104.3</v>
      </c>
      <c r="T10" s="9">
        <v>-998</v>
      </c>
      <c r="U10" s="9">
        <v>117</v>
      </c>
      <c r="V10" s="9" t="s">
        <v>34</v>
      </c>
      <c r="W10" s="9">
        <v>30.3</v>
      </c>
      <c r="X10" s="9">
        <v>12.68</v>
      </c>
      <c r="Y10" s="9">
        <v>10</v>
      </c>
      <c r="Z10" s="10">
        <v>42524.808622685188</v>
      </c>
      <c r="AA10" s="14">
        <f t="shared" si="0"/>
        <v>20558.751521643862</v>
      </c>
      <c r="AB10" s="11">
        <f t="shared" si="2"/>
        <v>20.199999999998909</v>
      </c>
      <c r="AC10" s="9">
        <v>20.1999999999999</v>
      </c>
      <c r="AD10" s="12">
        <v>139.6314735</v>
      </c>
      <c r="AE10" s="13">
        <f t="shared" si="3"/>
        <v>2.4717005446312279E-2</v>
      </c>
      <c r="AF10" s="13">
        <f t="shared" si="4"/>
        <v>2.7884475412152464E-2</v>
      </c>
      <c r="AG10" s="15">
        <f t="shared" si="5"/>
        <v>2.1908380412288889E-2</v>
      </c>
      <c r="AH10" s="11" t="s">
        <v>40</v>
      </c>
    </row>
    <row r="11" spans="1:35" ht="14.25">
      <c r="A11" s="9" t="s">
        <v>45</v>
      </c>
      <c r="B11" s="9" t="s">
        <v>34</v>
      </c>
      <c r="C11" s="9">
        <v>2.7789999999999999</v>
      </c>
      <c r="D11" s="9">
        <v>14.627000000000001</v>
      </c>
      <c r="E11" s="9">
        <v>49.491</v>
      </c>
      <c r="F11" s="9">
        <v>0.33100000000000002</v>
      </c>
      <c r="G11" s="9">
        <v>10.302</v>
      </c>
      <c r="H11" s="9">
        <v>7.2999999999999995E-2</v>
      </c>
      <c r="I11" s="9">
        <v>8.032</v>
      </c>
      <c r="J11" s="9">
        <v>7.8109999999999999</v>
      </c>
      <c r="K11" s="9">
        <v>1.46</v>
      </c>
      <c r="L11" s="9">
        <v>3.3000000000000002E-2</v>
      </c>
      <c r="M11" s="11">
        <v>2.819</v>
      </c>
      <c r="N11" s="14">
        <f t="shared" si="1"/>
        <v>20869.449268775661</v>
      </c>
      <c r="O11" s="11"/>
      <c r="P11" s="11"/>
      <c r="Q11" s="9">
        <v>0</v>
      </c>
      <c r="R11" s="9">
        <v>97.757000000000005</v>
      </c>
      <c r="S11" s="9">
        <v>11109.4</v>
      </c>
      <c r="T11" s="9">
        <v>-998</v>
      </c>
      <c r="U11" s="9">
        <v>117</v>
      </c>
      <c r="V11" s="9" t="s">
        <v>34</v>
      </c>
      <c r="W11" s="9">
        <v>35.35</v>
      </c>
      <c r="X11" s="9">
        <v>12.686999999999999</v>
      </c>
      <c r="Y11" s="9">
        <v>11</v>
      </c>
      <c r="Z11" s="10">
        <v>42524.810243055559</v>
      </c>
      <c r="AA11" s="14">
        <f t="shared" si="0"/>
        <v>20869.686906558891</v>
      </c>
      <c r="AB11" s="11">
        <f t="shared" si="2"/>
        <v>25.299999999999272</v>
      </c>
      <c r="AC11" s="9">
        <v>25.3</v>
      </c>
      <c r="AD11" s="12">
        <v>132.61743974999999</v>
      </c>
      <c r="AE11" s="13">
        <f t="shared" si="3"/>
        <v>9.4604824630419859E-3</v>
      </c>
      <c r="AF11" s="13">
        <f t="shared" si="4"/>
        <v>1.0674692856756811E-2</v>
      </c>
      <c r="AG11" s="15">
        <f t="shared" si="5"/>
        <v>8.3843307468168728E-3</v>
      </c>
      <c r="AH11" s="11" t="s">
        <v>40</v>
      </c>
    </row>
    <row r="12" spans="1:35" ht="14.25">
      <c r="A12" s="9" t="s">
        <v>46</v>
      </c>
      <c r="B12" s="9" t="s">
        <v>34</v>
      </c>
      <c r="C12" s="9">
        <v>2.86</v>
      </c>
      <c r="D12" s="9">
        <v>14.398999999999999</v>
      </c>
      <c r="E12" s="9">
        <v>49.66</v>
      </c>
      <c r="F12" s="9">
        <v>0.28999999999999998</v>
      </c>
      <c r="G12" s="9">
        <v>10.413</v>
      </c>
      <c r="H12" s="9">
        <v>0.152</v>
      </c>
      <c r="I12" s="9">
        <v>8.1850000000000005</v>
      </c>
      <c r="J12" s="9">
        <v>7.6719999999999997</v>
      </c>
      <c r="K12" s="9">
        <v>1.431</v>
      </c>
      <c r="L12" s="9">
        <v>5.6000000000000001E-2</v>
      </c>
      <c r="M12" s="9">
        <v>2.6880000000000002</v>
      </c>
      <c r="Q12" s="9">
        <v>6.7000000000000004E-2</v>
      </c>
      <c r="R12" s="9">
        <v>97.870999999999995</v>
      </c>
      <c r="S12" s="9">
        <v>11114.4</v>
      </c>
      <c r="T12" s="9">
        <v>-998</v>
      </c>
      <c r="U12" s="9">
        <v>117</v>
      </c>
      <c r="V12" s="9" t="s">
        <v>34</v>
      </c>
      <c r="W12" s="9">
        <v>40.4</v>
      </c>
      <c r="X12" s="9">
        <v>12.736000000000001</v>
      </c>
      <c r="Y12" s="9">
        <v>12</v>
      </c>
      <c r="Z12" s="10">
        <v>42524.811851851853</v>
      </c>
      <c r="AA12" s="14">
        <f t="shared" si="0"/>
        <v>19899.864634562011</v>
      </c>
      <c r="AB12" s="11">
        <f t="shared" si="2"/>
        <v>30.299999999999272</v>
      </c>
      <c r="AC12" s="9">
        <v>30.3</v>
      </c>
      <c r="AD12" s="12">
        <v>128.55012275000001</v>
      </c>
      <c r="AE12" s="13">
        <f t="shared" si="3"/>
        <v>5.5801383883716804E-2</v>
      </c>
      <c r="AF12" s="13">
        <f t="shared" si="4"/>
        <v>6.289982659414807E-2</v>
      </c>
      <c r="AG12" s="15">
        <f t="shared" si="5"/>
        <v>4.9493071345381931E-2</v>
      </c>
      <c r="AH12" s="11" t="s">
        <v>40</v>
      </c>
    </row>
    <row r="13" spans="1:35" ht="14.25">
      <c r="A13" s="9" t="s">
        <v>47</v>
      </c>
      <c r="B13" s="9" t="s">
        <v>34</v>
      </c>
      <c r="C13" s="9">
        <v>2.806</v>
      </c>
      <c r="D13" s="9">
        <v>14.428000000000001</v>
      </c>
      <c r="E13" s="9">
        <v>49.784999999999997</v>
      </c>
      <c r="F13" s="9">
        <v>0.29399999999999998</v>
      </c>
      <c r="G13" s="9">
        <v>9.9629999999999992</v>
      </c>
      <c r="H13" s="9">
        <v>0.186</v>
      </c>
      <c r="I13" s="9">
        <v>8.1270000000000007</v>
      </c>
      <c r="J13" s="9">
        <v>7.75</v>
      </c>
      <c r="K13" s="9">
        <v>1.486</v>
      </c>
      <c r="L13" s="9">
        <v>2.9000000000000001E-2</v>
      </c>
      <c r="M13" s="9">
        <v>2.6840000000000002</v>
      </c>
      <c r="Q13" s="9">
        <v>1.4E-2</v>
      </c>
      <c r="R13" s="9">
        <v>97.552000000000007</v>
      </c>
      <c r="S13" s="9">
        <v>11119.5</v>
      </c>
      <c r="T13" s="9">
        <v>-998</v>
      </c>
      <c r="U13" s="9">
        <v>117</v>
      </c>
      <c r="V13" s="9" t="s">
        <v>34</v>
      </c>
      <c r="W13" s="9">
        <v>45.45</v>
      </c>
      <c r="X13" s="9">
        <v>12.646000000000001</v>
      </c>
      <c r="Y13" s="9">
        <v>13</v>
      </c>
      <c r="Z13" s="10">
        <v>42524.813472222224</v>
      </c>
      <c r="AA13" s="14">
        <f t="shared" si="0"/>
        <v>19870.251740760577</v>
      </c>
      <c r="AB13" s="11">
        <f t="shared" si="2"/>
        <v>35.399999999999636</v>
      </c>
      <c r="AC13" s="9">
        <v>35.399999999999899</v>
      </c>
      <c r="AD13" s="12">
        <v>125.965339</v>
      </c>
      <c r="AE13" s="13">
        <f t="shared" si="3"/>
        <v>5.7098303953347362E-2</v>
      </c>
      <c r="AF13" s="13">
        <f t="shared" si="4"/>
        <v>6.4358588096705555E-2</v>
      </c>
      <c r="AG13" s="15">
        <f t="shared" si="5"/>
        <v>5.0645321945247644E-2</v>
      </c>
      <c r="AH13" s="11" t="s">
        <v>40</v>
      </c>
    </row>
    <row r="14" spans="1:35" ht="14.25">
      <c r="A14" s="9" t="s">
        <v>48</v>
      </c>
      <c r="B14" s="9" t="s">
        <v>34</v>
      </c>
      <c r="C14" s="9">
        <v>2.8919999999999999</v>
      </c>
      <c r="D14" s="9">
        <v>14.522</v>
      </c>
      <c r="E14" s="9">
        <v>49.816000000000003</v>
      </c>
      <c r="F14" s="9">
        <v>0.27700000000000002</v>
      </c>
      <c r="G14" s="9">
        <v>10.077999999999999</v>
      </c>
      <c r="H14" s="9">
        <v>0.17299999999999999</v>
      </c>
      <c r="I14" s="9">
        <v>8.2629999999999999</v>
      </c>
      <c r="J14" s="9">
        <v>7.7060000000000004</v>
      </c>
      <c r="K14" s="9">
        <v>1.5009999999999999</v>
      </c>
      <c r="L14" s="9">
        <v>5.1999999999999998E-2</v>
      </c>
      <c r="M14" s="9">
        <v>2.645</v>
      </c>
      <c r="Q14" s="9">
        <v>0</v>
      </c>
      <c r="R14" s="9">
        <v>97.926000000000002</v>
      </c>
      <c r="S14" s="9">
        <v>11124.5</v>
      </c>
      <c r="T14" s="9">
        <v>-998</v>
      </c>
      <c r="U14" s="9">
        <v>117</v>
      </c>
      <c r="V14" s="9" t="s">
        <v>34</v>
      </c>
      <c r="W14" s="9">
        <v>50.5</v>
      </c>
      <c r="X14" s="9">
        <v>12.693</v>
      </c>
      <c r="Y14" s="9">
        <v>14</v>
      </c>
      <c r="Z14" s="10">
        <v>42524.815081018518</v>
      </c>
      <c r="AA14" s="14">
        <f t="shared" si="0"/>
        <v>19581.526026196621</v>
      </c>
      <c r="AB14" s="11">
        <f t="shared" si="2"/>
        <v>40.399999999999636</v>
      </c>
      <c r="AC14" s="9">
        <v>40.399999999999899</v>
      </c>
      <c r="AD14" s="12">
        <v>124.267038</v>
      </c>
      <c r="AE14" s="13">
        <f t="shared" si="3"/>
        <v>7.0871061740587216E-2</v>
      </c>
      <c r="AF14" s="13">
        <f t="shared" si="4"/>
        <v>7.983574343882173E-2</v>
      </c>
      <c r="AG14" s="15">
        <f t="shared" si="5"/>
        <v>6.2890660641907653E-2</v>
      </c>
      <c r="AH14" s="11" t="s">
        <v>40</v>
      </c>
    </row>
    <row r="15" spans="1:35" ht="14.25">
      <c r="A15" s="9" t="s">
        <v>49</v>
      </c>
      <c r="B15" s="9" t="s">
        <v>34</v>
      </c>
      <c r="C15" s="9">
        <v>2.9590000000000001</v>
      </c>
      <c r="D15" s="9">
        <v>14.446999999999999</v>
      </c>
      <c r="E15" s="9">
        <v>49.6</v>
      </c>
      <c r="F15" s="9">
        <v>0.28999999999999998</v>
      </c>
      <c r="G15" s="9">
        <v>10.356</v>
      </c>
      <c r="H15" s="9">
        <v>0.182</v>
      </c>
      <c r="I15" s="9">
        <v>8.3160000000000007</v>
      </c>
      <c r="J15" s="9">
        <v>7.78</v>
      </c>
      <c r="K15" s="9">
        <v>1.4570000000000001</v>
      </c>
      <c r="L15" s="9">
        <v>3.7999999999999999E-2</v>
      </c>
      <c r="M15" s="9">
        <v>2.6110000000000002</v>
      </c>
      <c r="Q15" s="9">
        <v>1.7999999999999999E-2</v>
      </c>
      <c r="R15" s="9">
        <v>98.052999999999997</v>
      </c>
      <c r="S15" s="9">
        <v>11129.6</v>
      </c>
      <c r="T15" s="9">
        <v>-998</v>
      </c>
      <c r="U15" s="9">
        <v>117</v>
      </c>
      <c r="V15" s="9" t="s">
        <v>34</v>
      </c>
      <c r="W15" s="9">
        <v>55.56</v>
      </c>
      <c r="X15" s="9">
        <v>12.728</v>
      </c>
      <c r="Y15" s="9">
        <v>15</v>
      </c>
      <c r="Z15" s="10">
        <v>42524.816712962966</v>
      </c>
      <c r="AA15" s="14">
        <f t="shared" si="0"/>
        <v>19329.816428884453</v>
      </c>
      <c r="AB15" s="11">
        <f t="shared" si="2"/>
        <v>45.5</v>
      </c>
      <c r="AC15" s="9">
        <v>45.5</v>
      </c>
      <c r="AD15" s="12">
        <v>123.069875</v>
      </c>
      <c r="AE15" s="13">
        <f t="shared" si="3"/>
        <v>8.289168039032635E-2</v>
      </c>
      <c r="AF15" s="13">
        <f t="shared" si="4"/>
        <v>9.3319462871025979E-2</v>
      </c>
      <c r="AG15" s="15">
        <f t="shared" si="5"/>
        <v>7.3593484256694985E-2</v>
      </c>
      <c r="AH15" s="11" t="s">
        <v>40</v>
      </c>
    </row>
    <row r="16" spans="1:35" ht="14.25">
      <c r="A16" s="9" t="s">
        <v>50</v>
      </c>
      <c r="B16" s="9" t="s">
        <v>34</v>
      </c>
      <c r="C16" s="9">
        <v>2.9849999999999999</v>
      </c>
      <c r="D16" s="9">
        <v>14.395</v>
      </c>
      <c r="E16" s="9">
        <v>49.911999999999999</v>
      </c>
      <c r="F16" s="9">
        <v>0.312</v>
      </c>
      <c r="G16" s="9">
        <v>10.007999999999999</v>
      </c>
      <c r="H16" s="9">
        <v>0.152</v>
      </c>
      <c r="I16" s="9">
        <v>8.27</v>
      </c>
      <c r="J16" s="9">
        <v>7.69</v>
      </c>
      <c r="K16" s="9">
        <v>1.4830000000000001</v>
      </c>
      <c r="L16" s="9">
        <v>5.2999999999999999E-2</v>
      </c>
      <c r="M16" s="9">
        <v>2.61</v>
      </c>
      <c r="Q16" s="9">
        <v>7.3999999999999996E-2</v>
      </c>
      <c r="R16" s="9">
        <v>97.944999999999993</v>
      </c>
      <c r="S16" s="9">
        <v>11134.6</v>
      </c>
      <c r="T16" s="9">
        <v>-998</v>
      </c>
      <c r="U16" s="9">
        <v>117</v>
      </c>
      <c r="V16" s="9" t="s">
        <v>34</v>
      </c>
      <c r="W16" s="9">
        <v>60.61</v>
      </c>
      <c r="X16" s="9">
        <v>12.721</v>
      </c>
      <c r="Y16" s="9">
        <v>16</v>
      </c>
      <c r="Z16" s="10">
        <v>42524.818310185183</v>
      </c>
      <c r="AA16" s="14">
        <f t="shared" si="0"/>
        <v>19322.413205434095</v>
      </c>
      <c r="AB16" s="11">
        <f t="shared" si="2"/>
        <v>50.5</v>
      </c>
      <c r="AC16" s="9">
        <v>50.5</v>
      </c>
      <c r="AD16" s="12">
        <v>122.212498749999</v>
      </c>
      <c r="AE16" s="13">
        <f t="shared" si="3"/>
        <v>8.3205777106327705E-2</v>
      </c>
      <c r="AF16" s="13">
        <f t="shared" si="4"/>
        <v>9.3671447001044045E-2</v>
      </c>
      <c r="AG16" s="15">
        <f t="shared" si="5"/>
        <v>7.3873362688785305E-2</v>
      </c>
      <c r="AH16" s="11" t="s">
        <v>40</v>
      </c>
    </row>
    <row r="17" spans="1:34" ht="14.25">
      <c r="A17" s="9" t="s">
        <v>51</v>
      </c>
      <c r="B17" s="9" t="s">
        <v>34</v>
      </c>
      <c r="C17" s="9">
        <v>2.9020000000000001</v>
      </c>
      <c r="D17" s="9">
        <v>14.422000000000001</v>
      </c>
      <c r="E17" s="9">
        <v>49.831000000000003</v>
      </c>
      <c r="F17" s="9">
        <v>0.31</v>
      </c>
      <c r="G17" s="9">
        <v>10.077999999999999</v>
      </c>
      <c r="H17" s="9">
        <v>0.14099999999999999</v>
      </c>
      <c r="I17" s="9">
        <v>8.0370000000000008</v>
      </c>
      <c r="J17" s="9">
        <v>7.7210000000000001</v>
      </c>
      <c r="K17" s="9">
        <v>1.466</v>
      </c>
      <c r="L17" s="9">
        <v>5.5E-2</v>
      </c>
      <c r="M17" s="9">
        <v>2.5379999999999998</v>
      </c>
      <c r="Q17" s="9">
        <v>0</v>
      </c>
      <c r="R17" s="9">
        <v>97.501000000000005</v>
      </c>
      <c r="S17" s="9">
        <v>11139.7</v>
      </c>
      <c r="T17" s="9">
        <v>-998</v>
      </c>
      <c r="U17" s="9">
        <v>117</v>
      </c>
      <c r="V17" s="9" t="s">
        <v>34</v>
      </c>
      <c r="W17" s="9">
        <v>65.66</v>
      </c>
      <c r="X17" s="9">
        <v>12.596</v>
      </c>
      <c r="Y17" s="9">
        <v>17</v>
      </c>
      <c r="Z17" s="10">
        <v>42524.819930555554</v>
      </c>
      <c r="AA17" s="14">
        <f t="shared" si="0"/>
        <v>18789.381117008325</v>
      </c>
      <c r="AB17" s="11">
        <f t="shared" si="2"/>
        <v>55.600000000000364</v>
      </c>
      <c r="AC17" s="9">
        <v>55.6</v>
      </c>
      <c r="AD17" s="12">
        <v>121.558868</v>
      </c>
      <c r="AE17" s="13">
        <f t="shared" si="3"/>
        <v>0.10875148877779783</v>
      </c>
      <c r="AF17" s="13">
        <f t="shared" si="4"/>
        <v>0.12223085539278973</v>
      </c>
      <c r="AG17" s="15">
        <f t="shared" si="5"/>
        <v>9.667886759183951E-2</v>
      </c>
      <c r="AH17" s="11" t="s">
        <v>40</v>
      </c>
    </row>
    <row r="18" spans="1:34" ht="14.25">
      <c r="A18" s="9" t="s">
        <v>52</v>
      </c>
      <c r="B18" s="9" t="s">
        <v>34</v>
      </c>
      <c r="C18" s="9">
        <v>2.879</v>
      </c>
      <c r="D18" s="9">
        <v>14.669</v>
      </c>
      <c r="E18" s="9">
        <v>49.701999999999998</v>
      </c>
      <c r="F18" s="9">
        <v>0.24399999999999999</v>
      </c>
      <c r="G18" s="9">
        <v>10.118</v>
      </c>
      <c r="H18" s="9">
        <v>0.151</v>
      </c>
      <c r="I18" s="9">
        <v>8.0850000000000009</v>
      </c>
      <c r="J18" s="9">
        <v>7.593</v>
      </c>
      <c r="K18" s="9">
        <v>1.4610000000000001</v>
      </c>
      <c r="L18" s="9">
        <v>4.7E-2</v>
      </c>
      <c r="M18" s="9">
        <v>2.5779999999999998</v>
      </c>
      <c r="Q18" s="9">
        <v>5.6000000000000001E-2</v>
      </c>
      <c r="R18" s="9">
        <v>97.581999999999994</v>
      </c>
      <c r="S18" s="9">
        <v>11144.7</v>
      </c>
      <c r="T18" s="9">
        <v>-998</v>
      </c>
      <c r="U18" s="9">
        <v>117</v>
      </c>
      <c r="V18" s="9" t="s">
        <v>34</v>
      </c>
      <c r="W18" s="9">
        <v>70.709999999999994</v>
      </c>
      <c r="X18" s="9">
        <v>12.646000000000001</v>
      </c>
      <c r="Y18" s="9">
        <v>18</v>
      </c>
      <c r="Z18" s="10">
        <v>42524.821539351855</v>
      </c>
      <c r="AA18" s="14">
        <f t="shared" si="0"/>
        <v>19085.510055022642</v>
      </c>
      <c r="AB18" s="11">
        <f t="shared" si="2"/>
        <v>60.600000000000364</v>
      </c>
      <c r="AC18" s="9">
        <v>60.6</v>
      </c>
      <c r="AD18" s="12">
        <v>121.0843055</v>
      </c>
      <c r="AE18" s="13">
        <f t="shared" si="3"/>
        <v>9.4519230887487038E-2</v>
      </c>
      <c r="AF18" s="13">
        <f t="shared" si="4"/>
        <v>0.10633677033620507</v>
      </c>
      <c r="AG18" s="15">
        <f t="shared" si="5"/>
        <v>8.396237343475392E-2</v>
      </c>
      <c r="AH18" s="11" t="s">
        <v>40</v>
      </c>
    </row>
    <row r="19" spans="1:34" ht="14.25">
      <c r="A19" s="9" t="s">
        <v>53</v>
      </c>
      <c r="B19" s="9" t="s">
        <v>34</v>
      </c>
      <c r="C19" s="9">
        <v>2.847</v>
      </c>
      <c r="D19" s="9">
        <v>14.475</v>
      </c>
      <c r="E19" s="9">
        <v>49.844999999999999</v>
      </c>
      <c r="F19" s="9">
        <v>0.27900000000000003</v>
      </c>
      <c r="G19" s="9">
        <v>10.055999999999999</v>
      </c>
      <c r="H19" s="9">
        <v>0.187</v>
      </c>
      <c r="I19" s="9">
        <v>8.1829999999999998</v>
      </c>
      <c r="J19" s="9">
        <v>7.6580000000000004</v>
      </c>
      <c r="K19" s="9">
        <v>1.452</v>
      </c>
      <c r="L19" s="9">
        <v>3.3000000000000002E-2</v>
      </c>
      <c r="M19" s="9">
        <v>2.464</v>
      </c>
      <c r="Q19" s="9">
        <v>0</v>
      </c>
      <c r="R19" s="9">
        <v>97.477999999999994</v>
      </c>
      <c r="S19" s="9">
        <v>11149.8</v>
      </c>
      <c r="T19" s="9">
        <v>-998</v>
      </c>
      <c r="U19" s="9">
        <v>117</v>
      </c>
      <c r="V19" s="9" t="s">
        <v>34</v>
      </c>
      <c r="W19" s="9">
        <v>75.760000000000005</v>
      </c>
      <c r="X19" s="9">
        <v>12.593999999999999</v>
      </c>
      <c r="Y19" s="9">
        <v>19</v>
      </c>
      <c r="Z19" s="10">
        <v>42524.823148148149</v>
      </c>
      <c r="AA19" s="14">
        <f t="shared" si="0"/>
        <v>18241.542581681839</v>
      </c>
      <c r="AB19" s="11">
        <f t="shared" si="2"/>
        <v>65.699999999998909</v>
      </c>
      <c r="AC19" s="9">
        <v>65.7</v>
      </c>
      <c r="AD19" s="12">
        <v>120.69896075</v>
      </c>
      <c r="AE19" s="13">
        <f t="shared" si="3"/>
        <v>0.13499777677431168</v>
      </c>
      <c r="AF19" s="13">
        <f t="shared" si="4"/>
        <v>0.15140835006912695</v>
      </c>
      <c r="AG19" s="15">
        <f t="shared" si="5"/>
        <v>0.12021526797228815</v>
      </c>
      <c r="AH19" s="11" t="s">
        <v>40</v>
      </c>
    </row>
    <row r="20" spans="1:34" ht="14.25">
      <c r="A20" s="9" t="s">
        <v>54</v>
      </c>
      <c r="B20" s="9" t="s">
        <v>34</v>
      </c>
      <c r="C20" s="9">
        <v>2.8439999999999999</v>
      </c>
      <c r="D20" s="9">
        <v>14.491</v>
      </c>
      <c r="E20" s="9">
        <v>49.472999999999999</v>
      </c>
      <c r="F20" s="9">
        <v>0.315</v>
      </c>
      <c r="G20" s="9">
        <v>10.095000000000001</v>
      </c>
      <c r="H20" s="9">
        <v>0.192</v>
      </c>
      <c r="I20" s="9">
        <v>8.16</v>
      </c>
      <c r="J20" s="9">
        <v>7.66</v>
      </c>
      <c r="K20" s="9">
        <v>1.478</v>
      </c>
      <c r="L20" s="9">
        <v>4.2000000000000003E-2</v>
      </c>
      <c r="M20" s="9">
        <v>2.407</v>
      </c>
      <c r="Q20" s="9">
        <v>4.2000000000000003E-2</v>
      </c>
      <c r="R20" s="9">
        <v>97.197999999999993</v>
      </c>
      <c r="S20" s="9">
        <v>11154.8</v>
      </c>
      <c r="T20" s="9">
        <v>-998</v>
      </c>
      <c r="U20" s="9">
        <v>117</v>
      </c>
      <c r="V20" s="9" t="s">
        <v>34</v>
      </c>
      <c r="W20" s="9">
        <v>80.81</v>
      </c>
      <c r="X20" s="9">
        <v>12.577999999999999</v>
      </c>
      <c r="Y20" s="9">
        <v>20</v>
      </c>
      <c r="Z20" s="10">
        <v>42524.824745370373</v>
      </c>
      <c r="AA20" s="14">
        <f t="shared" si="0"/>
        <v>17819.558845011445</v>
      </c>
      <c r="AB20" s="11">
        <f t="shared" si="2"/>
        <v>70.699999999998909</v>
      </c>
      <c r="AC20" s="9">
        <v>70.7</v>
      </c>
      <c r="AD20" s="12">
        <v>120.39777175</v>
      </c>
      <c r="AE20" s="13">
        <f t="shared" si="3"/>
        <v>0.15523184264299361</v>
      </c>
      <c r="AF20" s="13">
        <f t="shared" si="4"/>
        <v>0.17376354796372104</v>
      </c>
      <c r="AG20" s="15">
        <f t="shared" si="5"/>
        <v>0.1384502003109343</v>
      </c>
      <c r="AH20" s="11" t="s">
        <v>40</v>
      </c>
    </row>
    <row r="21" spans="1:34" ht="14.25">
      <c r="A21" s="9" t="s">
        <v>55</v>
      </c>
      <c r="B21" s="9" t="s">
        <v>34</v>
      </c>
      <c r="C21" s="9">
        <v>2.9449999999999998</v>
      </c>
      <c r="D21" s="9">
        <v>14.694000000000001</v>
      </c>
      <c r="E21" s="9">
        <v>50.04</v>
      </c>
      <c r="F21" s="9">
        <v>0.29199999999999998</v>
      </c>
      <c r="G21" s="9">
        <v>10.118</v>
      </c>
      <c r="H21" s="9">
        <v>0.17</v>
      </c>
      <c r="I21" s="9">
        <v>8.1539999999999999</v>
      </c>
      <c r="J21" s="9">
        <v>7.7069999999999999</v>
      </c>
      <c r="K21" s="9">
        <v>1.429</v>
      </c>
      <c r="L21" s="9">
        <v>3.1E-2</v>
      </c>
      <c r="M21" s="9">
        <v>2.452</v>
      </c>
      <c r="Q21" s="9">
        <v>5.3999999999999999E-2</v>
      </c>
      <c r="R21" s="9">
        <v>98.087000000000003</v>
      </c>
      <c r="S21" s="9">
        <v>11159.9</v>
      </c>
      <c r="T21" s="9">
        <v>-998</v>
      </c>
      <c r="U21" s="9">
        <v>117</v>
      </c>
      <c r="V21" s="9" t="s">
        <v>34</v>
      </c>
      <c r="W21" s="9">
        <v>85.86</v>
      </c>
      <c r="X21" s="9">
        <v>12.682</v>
      </c>
      <c r="Y21" s="9">
        <v>21</v>
      </c>
      <c r="Z21" s="10">
        <v>42524.826331018521</v>
      </c>
      <c r="AA21" s="14">
        <f t="shared" si="0"/>
        <v>18152.703900277545</v>
      </c>
      <c r="AB21" s="11">
        <f t="shared" si="2"/>
        <v>75.799999999999272</v>
      </c>
      <c r="AC21" s="9">
        <v>75.799999999999898</v>
      </c>
      <c r="AD21" s="12">
        <v>120.1554285</v>
      </c>
      <c r="AE21" s="13">
        <f t="shared" si="3"/>
        <v>0.1392345417856764</v>
      </c>
      <c r="AF21" s="13">
        <f t="shared" si="4"/>
        <v>0.15609997958055924</v>
      </c>
      <c r="AG21" s="15">
        <f t="shared" si="5"/>
        <v>0.12402642355864767</v>
      </c>
      <c r="AH21" s="11" t="s">
        <v>40</v>
      </c>
    </row>
    <row r="22" spans="1:34" ht="14.25">
      <c r="A22" s="9" t="s">
        <v>56</v>
      </c>
      <c r="B22" s="9" t="s">
        <v>34</v>
      </c>
      <c r="C22" s="9">
        <v>2.9279999999999999</v>
      </c>
      <c r="D22" s="9">
        <v>14.465</v>
      </c>
      <c r="E22" s="9">
        <v>49.834000000000003</v>
      </c>
      <c r="F22" s="9">
        <v>0.31900000000000001</v>
      </c>
      <c r="G22" s="9">
        <v>10.204000000000001</v>
      </c>
      <c r="H22" s="9">
        <v>0.188</v>
      </c>
      <c r="I22" s="9">
        <v>8.09</v>
      </c>
      <c r="J22" s="9">
        <v>7.766</v>
      </c>
      <c r="K22" s="9">
        <v>1.4690000000000001</v>
      </c>
      <c r="L22" s="9">
        <v>4.8000000000000001E-2</v>
      </c>
      <c r="M22" s="9">
        <v>2.3570000000000002</v>
      </c>
      <c r="Q22" s="9">
        <v>6.3E-2</v>
      </c>
      <c r="R22" s="9">
        <v>97.73</v>
      </c>
      <c r="S22" s="9">
        <v>11164.9</v>
      </c>
      <c r="T22" s="9">
        <v>-998</v>
      </c>
      <c r="U22" s="9">
        <v>117</v>
      </c>
      <c r="V22" s="9" t="s">
        <v>34</v>
      </c>
      <c r="W22" s="9">
        <v>90.91</v>
      </c>
      <c r="X22" s="9">
        <v>12.632999999999999</v>
      </c>
      <c r="Y22" s="9">
        <v>22</v>
      </c>
      <c r="Z22" s="10">
        <v>42524.827962962961</v>
      </c>
      <c r="AA22" s="14">
        <f t="shared" si="0"/>
        <v>17449.397672493546</v>
      </c>
      <c r="AB22" s="11">
        <f t="shared" si="2"/>
        <v>80.799999999999272</v>
      </c>
      <c r="AC22" s="9">
        <v>80.799999999999898</v>
      </c>
      <c r="AD22" s="12">
        <v>119.951683</v>
      </c>
      <c r="AE22" s="13">
        <f t="shared" si="3"/>
        <v>0.1729722955000853</v>
      </c>
      <c r="AF22" s="13">
        <f t="shared" si="4"/>
        <v>0.19324914225777459</v>
      </c>
      <c r="AG22" s="15">
        <f t="shared" si="5"/>
        <v>0.15451359066719228</v>
      </c>
      <c r="AH22" s="11" t="s">
        <v>40</v>
      </c>
    </row>
    <row r="23" spans="1:34" ht="14.25">
      <c r="A23" s="9" t="s">
        <v>57</v>
      </c>
      <c r="B23" s="9" t="s">
        <v>34</v>
      </c>
      <c r="C23" s="9">
        <v>2.8359999999999999</v>
      </c>
      <c r="D23" s="9">
        <v>14.585000000000001</v>
      </c>
      <c r="E23" s="9">
        <v>49.936</v>
      </c>
      <c r="F23" s="9">
        <v>0.27800000000000002</v>
      </c>
      <c r="G23" s="9">
        <v>9.9350000000000005</v>
      </c>
      <c r="H23" s="9">
        <v>0.21199999999999999</v>
      </c>
      <c r="I23" s="9">
        <v>7.9539999999999997</v>
      </c>
      <c r="J23" s="9">
        <v>7.75</v>
      </c>
      <c r="K23" s="9">
        <v>1.4019999999999999</v>
      </c>
      <c r="L23" s="9">
        <v>2.7E-2</v>
      </c>
      <c r="M23" s="9">
        <v>2.2509999999999999</v>
      </c>
      <c r="Q23" s="9">
        <v>0</v>
      </c>
      <c r="R23" s="9">
        <v>97.167000000000002</v>
      </c>
      <c r="S23" s="9">
        <v>11170</v>
      </c>
      <c r="T23" s="9">
        <v>-998</v>
      </c>
      <c r="U23" s="9">
        <v>117</v>
      </c>
      <c r="V23" s="9" t="s">
        <v>34</v>
      </c>
      <c r="W23" s="9">
        <v>95.96</v>
      </c>
      <c r="X23" s="9">
        <v>12.481999999999999</v>
      </c>
      <c r="Y23" s="9">
        <v>23</v>
      </c>
      <c r="Z23" s="10">
        <v>42524.829606481479</v>
      </c>
      <c r="AA23" s="14">
        <f t="shared" si="0"/>
        <v>16664.655986755613</v>
      </c>
      <c r="AB23" s="11">
        <f t="shared" si="2"/>
        <v>85.899999999999636</v>
      </c>
      <c r="AC23" s="9">
        <v>85.9</v>
      </c>
      <c r="AD23" s="12">
        <v>119.782738749999</v>
      </c>
      <c r="AE23" s="13">
        <f t="shared" si="3"/>
        <v>0.21061932788912274</v>
      </c>
      <c r="AF23" s="13">
        <f t="shared" si="4"/>
        <v>0.23419052359721224</v>
      </c>
      <c r="AG23" s="15">
        <f t="shared" si="5"/>
        <v>0.18887877884427112</v>
      </c>
      <c r="AH23" s="11" t="s">
        <v>40</v>
      </c>
    </row>
    <row r="24" spans="1:34" ht="14.25">
      <c r="A24" s="9" t="s">
        <v>58</v>
      </c>
      <c r="B24" s="9" t="s">
        <v>34</v>
      </c>
      <c r="C24" s="9">
        <v>2.96</v>
      </c>
      <c r="D24" s="9">
        <v>14.638</v>
      </c>
      <c r="E24" s="9">
        <v>49.767000000000003</v>
      </c>
      <c r="F24" s="9">
        <v>0.28799999999999998</v>
      </c>
      <c r="G24" s="9">
        <v>10.257</v>
      </c>
      <c r="H24" s="9">
        <v>0.218</v>
      </c>
      <c r="I24" s="9">
        <v>8.35</v>
      </c>
      <c r="J24" s="9">
        <v>7.6870000000000003</v>
      </c>
      <c r="K24" s="9">
        <v>1.446</v>
      </c>
      <c r="L24" s="9">
        <v>4.1000000000000002E-2</v>
      </c>
      <c r="M24" s="9">
        <v>2.2559999999999998</v>
      </c>
      <c r="Q24" s="9">
        <v>2.4E-2</v>
      </c>
      <c r="R24" s="9">
        <v>97.932000000000002</v>
      </c>
      <c r="S24" s="9">
        <v>11175</v>
      </c>
      <c r="T24" s="9">
        <v>-998</v>
      </c>
      <c r="U24" s="9">
        <v>117</v>
      </c>
      <c r="V24" s="9" t="s">
        <v>34</v>
      </c>
      <c r="W24" s="9">
        <v>101.01</v>
      </c>
      <c r="X24" s="9">
        <v>12.645</v>
      </c>
      <c r="Y24" s="9">
        <v>24</v>
      </c>
      <c r="Z24" s="10">
        <v>42524.831226851849</v>
      </c>
      <c r="AA24" s="14">
        <f t="shared" si="0"/>
        <v>16701.672104007401</v>
      </c>
      <c r="AB24" s="11">
        <f t="shared" si="2"/>
        <v>90.899999999999636</v>
      </c>
      <c r="AC24" s="9">
        <v>90.9</v>
      </c>
      <c r="AD24" s="12">
        <v>119.655556</v>
      </c>
      <c r="AE24" s="13">
        <f t="shared" si="3"/>
        <v>0.20883703933350584</v>
      </c>
      <c r="AF24" s="13">
        <f t="shared" si="4"/>
        <v>0.23226596944994524</v>
      </c>
      <c r="AG24" s="15">
        <f t="shared" si="5"/>
        <v>0.18724240454750213</v>
      </c>
      <c r="AH24" s="11" t="s">
        <v>40</v>
      </c>
    </row>
    <row r="25" spans="1:34" ht="14.25">
      <c r="A25" s="9" t="s">
        <v>59</v>
      </c>
      <c r="B25" s="9" t="s">
        <v>34</v>
      </c>
      <c r="C25" s="9">
        <v>2.964</v>
      </c>
      <c r="D25" s="9">
        <v>14.641</v>
      </c>
      <c r="E25" s="9">
        <v>49.831000000000003</v>
      </c>
      <c r="F25" s="9">
        <v>0.29799999999999999</v>
      </c>
      <c r="G25" s="9">
        <v>10.15</v>
      </c>
      <c r="H25" s="9">
        <v>0.106</v>
      </c>
      <c r="I25" s="9">
        <v>8.0280000000000005</v>
      </c>
      <c r="J25" s="9">
        <v>7.6360000000000001</v>
      </c>
      <c r="K25" s="9">
        <v>1.5149999999999999</v>
      </c>
      <c r="L25" s="9">
        <v>4.4999999999999998E-2</v>
      </c>
      <c r="M25" s="9">
        <v>2.2749999999999999</v>
      </c>
      <c r="Q25" s="9">
        <v>0</v>
      </c>
      <c r="R25" s="9">
        <v>97.49</v>
      </c>
      <c r="S25" s="9">
        <v>11180.1</v>
      </c>
      <c r="T25" s="9">
        <v>-998</v>
      </c>
      <c r="U25" s="9">
        <v>117</v>
      </c>
      <c r="V25" s="9" t="s">
        <v>34</v>
      </c>
      <c r="W25" s="9">
        <v>106.06</v>
      </c>
      <c r="X25" s="9">
        <v>12.54</v>
      </c>
      <c r="Y25" s="9">
        <v>25</v>
      </c>
      <c r="Z25" s="10">
        <v>42524.832812499997</v>
      </c>
      <c r="AA25" s="14">
        <f t="shared" si="0"/>
        <v>16842.3333495642</v>
      </c>
      <c r="AB25" s="11">
        <f t="shared" si="2"/>
        <v>96</v>
      </c>
      <c r="AC25" s="9">
        <v>96</v>
      </c>
      <c r="AD25" s="12">
        <v>119.53913</v>
      </c>
      <c r="AE25" s="13">
        <f t="shared" si="3"/>
        <v>0.20208194668180213</v>
      </c>
      <c r="AF25" s="13">
        <f t="shared" si="4"/>
        <v>0.2249587571979679</v>
      </c>
      <c r="AG25" s="15">
        <f t="shared" si="5"/>
        <v>0.1810493580210113</v>
      </c>
      <c r="AH25" s="11" t="s">
        <v>40</v>
      </c>
    </row>
    <row r="26" spans="1:34" ht="14.25">
      <c r="A26" s="9" t="s">
        <v>60</v>
      </c>
      <c r="B26" s="9" t="s">
        <v>34</v>
      </c>
      <c r="C26" s="9">
        <v>3.012</v>
      </c>
      <c r="D26" s="9">
        <v>14.563000000000001</v>
      </c>
      <c r="E26" s="9">
        <v>49.854999999999997</v>
      </c>
      <c r="F26" s="9">
        <v>0.32600000000000001</v>
      </c>
      <c r="G26" s="9">
        <v>10.16</v>
      </c>
      <c r="H26" s="9">
        <v>0.16</v>
      </c>
      <c r="I26" s="9">
        <v>8.0009999999999994</v>
      </c>
      <c r="J26" s="9">
        <v>7.7050000000000001</v>
      </c>
      <c r="K26" s="9">
        <v>1.42</v>
      </c>
      <c r="L26" s="9">
        <v>4.3999999999999997E-2</v>
      </c>
      <c r="M26" s="9">
        <v>2.331</v>
      </c>
      <c r="Q26" s="9">
        <v>0</v>
      </c>
      <c r="R26" s="9">
        <v>97.575999999999993</v>
      </c>
      <c r="S26" s="9">
        <v>11185.1</v>
      </c>
      <c r="T26" s="9">
        <v>-998</v>
      </c>
      <c r="U26" s="9">
        <v>117</v>
      </c>
      <c r="V26" s="9" t="s">
        <v>34</v>
      </c>
      <c r="W26" s="9">
        <v>111.11</v>
      </c>
      <c r="X26" s="9">
        <v>12.56</v>
      </c>
      <c r="Y26" s="9">
        <v>26</v>
      </c>
      <c r="Z26" s="10">
        <v>42524.834409722222</v>
      </c>
      <c r="AA26" s="14">
        <f t="shared" si="0"/>
        <v>17256.913862784244</v>
      </c>
      <c r="AB26" s="11">
        <f t="shared" si="2"/>
        <v>101</v>
      </c>
      <c r="AC26" s="9">
        <v>101</v>
      </c>
      <c r="AD26" s="12">
        <v>119.44421749999999</v>
      </c>
      <c r="AE26" s="13">
        <f t="shared" si="3"/>
        <v>0.18218411139196811</v>
      </c>
      <c r="AF26" s="13">
        <f t="shared" si="4"/>
        <v>0.20332083298330358</v>
      </c>
      <c r="AG26" s="15">
        <f t="shared" si="5"/>
        <v>0.16288561632474943</v>
      </c>
      <c r="AH26" s="11" t="s">
        <v>40</v>
      </c>
    </row>
    <row r="27" spans="1:34" ht="14.25">
      <c r="A27" s="9" t="s">
        <v>61</v>
      </c>
      <c r="B27" s="9" t="s">
        <v>34</v>
      </c>
      <c r="C27" s="9">
        <v>2.899</v>
      </c>
      <c r="D27" s="9">
        <v>14.442</v>
      </c>
      <c r="E27" s="9">
        <v>49.970999999999997</v>
      </c>
      <c r="F27" s="9">
        <v>0.33700000000000002</v>
      </c>
      <c r="G27" s="9">
        <v>10.119</v>
      </c>
      <c r="H27" s="9">
        <v>0.114</v>
      </c>
      <c r="I27" s="9">
        <v>8.0350000000000001</v>
      </c>
      <c r="J27" s="9">
        <v>7.7</v>
      </c>
      <c r="K27" s="9">
        <v>1.4430000000000001</v>
      </c>
      <c r="L27" s="9">
        <v>4.9000000000000002E-2</v>
      </c>
      <c r="M27" s="9">
        <v>2.2240000000000002</v>
      </c>
      <c r="Q27" s="9">
        <v>4.4999999999999998E-2</v>
      </c>
      <c r="R27" s="9">
        <v>97.378</v>
      </c>
      <c r="S27" s="9">
        <v>11190.2</v>
      </c>
      <c r="T27" s="9">
        <v>-998</v>
      </c>
      <c r="U27" s="9">
        <v>117</v>
      </c>
      <c r="V27" s="9" t="s">
        <v>34</v>
      </c>
      <c r="W27" s="9">
        <v>116.16</v>
      </c>
      <c r="X27" s="9">
        <v>12.54</v>
      </c>
      <c r="Y27" s="9">
        <v>27</v>
      </c>
      <c r="Z27" s="10">
        <v>42524.836041666669</v>
      </c>
      <c r="AA27" s="14">
        <f t="shared" si="0"/>
        <v>16464.768953595951</v>
      </c>
      <c r="AB27" s="11">
        <f t="shared" si="2"/>
        <v>106.10000000000036</v>
      </c>
      <c r="AC27" s="9">
        <v>106.099999999999</v>
      </c>
      <c r="AD27" s="12">
        <v>119.360694499999</v>
      </c>
      <c r="AE27" s="13">
        <f t="shared" si="3"/>
        <v>0.22019047980515771</v>
      </c>
      <c r="AF27" s="13">
        <f t="shared" si="4"/>
        <v>0.2445006814151415</v>
      </c>
      <c r="AG27" s="15">
        <f t="shared" si="5"/>
        <v>0.19768391305865976</v>
      </c>
      <c r="AH27" s="11" t="s">
        <v>40</v>
      </c>
    </row>
    <row r="28" spans="1:34" ht="14.25">
      <c r="A28" s="9" t="s">
        <v>62</v>
      </c>
      <c r="B28" s="9" t="s">
        <v>34</v>
      </c>
      <c r="C28" s="9">
        <v>3.0409999999999999</v>
      </c>
      <c r="D28" s="9">
        <v>14.504</v>
      </c>
      <c r="E28" s="9">
        <v>50.098999999999997</v>
      </c>
      <c r="F28" s="9">
        <v>0.28999999999999998</v>
      </c>
      <c r="G28" s="9">
        <v>10.305999999999999</v>
      </c>
      <c r="H28" s="9">
        <v>0.113</v>
      </c>
      <c r="I28" s="9">
        <v>8.23</v>
      </c>
      <c r="J28" s="9">
        <v>7.6740000000000004</v>
      </c>
      <c r="K28" s="9">
        <v>1.4530000000000001</v>
      </c>
      <c r="L28" s="9">
        <v>0.04</v>
      </c>
      <c r="M28" s="9">
        <v>2.2469999999999999</v>
      </c>
      <c r="Q28" s="9">
        <v>1E-3</v>
      </c>
      <c r="R28" s="9">
        <v>97.998000000000005</v>
      </c>
      <c r="S28" s="9">
        <v>11195.2</v>
      </c>
      <c r="T28" s="9">
        <v>-998</v>
      </c>
      <c r="U28" s="9">
        <v>117</v>
      </c>
      <c r="V28" s="9" t="s">
        <v>34</v>
      </c>
      <c r="W28" s="9">
        <v>121.21</v>
      </c>
      <c r="X28" s="9">
        <v>12.618</v>
      </c>
      <c r="Y28" s="9">
        <v>28</v>
      </c>
      <c r="Z28" s="10">
        <v>42524.837638888886</v>
      </c>
      <c r="AA28" s="14">
        <f t="shared" si="0"/>
        <v>16635.04309295418</v>
      </c>
      <c r="AB28" s="11">
        <f t="shared" si="2"/>
        <v>111.10000000000036</v>
      </c>
      <c r="AC28" s="9">
        <v>111.099999999999</v>
      </c>
      <c r="AD28" s="12">
        <v>119.28476449999999</v>
      </c>
      <c r="AE28" s="13">
        <f t="shared" si="3"/>
        <v>0.21201638167572046</v>
      </c>
      <c r="AF28" s="13">
        <f t="shared" si="4"/>
        <v>0.23569808357456554</v>
      </c>
      <c r="AG28" s="15">
        <f t="shared" si="5"/>
        <v>0.19016216430806285</v>
      </c>
      <c r="AH28" s="11" t="s">
        <v>40</v>
      </c>
    </row>
    <row r="29" spans="1:34" ht="14.25">
      <c r="A29" s="9" t="s">
        <v>63</v>
      </c>
      <c r="B29" s="9" t="s">
        <v>34</v>
      </c>
      <c r="C29" s="9">
        <v>3.0249999999999999</v>
      </c>
      <c r="D29" s="9">
        <v>14.603999999999999</v>
      </c>
      <c r="E29" s="9">
        <v>50.12</v>
      </c>
      <c r="F29" s="9">
        <v>0.32700000000000001</v>
      </c>
      <c r="G29" s="9">
        <v>10.246</v>
      </c>
      <c r="H29" s="9">
        <v>0.182</v>
      </c>
      <c r="I29" s="9">
        <v>8.0030000000000001</v>
      </c>
      <c r="J29" s="9">
        <v>7.758</v>
      </c>
      <c r="K29" s="9">
        <v>1.4390000000000001</v>
      </c>
      <c r="L29" s="9">
        <v>4.2000000000000003E-2</v>
      </c>
      <c r="M29" s="9">
        <v>2.2000000000000002</v>
      </c>
      <c r="Q29" s="9">
        <v>3.9E-2</v>
      </c>
      <c r="R29" s="9">
        <v>97.986000000000004</v>
      </c>
      <c r="S29" s="9">
        <v>11200.3</v>
      </c>
      <c r="T29" s="9">
        <v>-998</v>
      </c>
      <c r="U29" s="9">
        <v>117</v>
      </c>
      <c r="V29" s="9" t="s">
        <v>34</v>
      </c>
      <c r="W29" s="9">
        <v>126.26</v>
      </c>
      <c r="X29" s="9">
        <v>12.606</v>
      </c>
      <c r="Y29" s="9">
        <v>29</v>
      </c>
      <c r="Z29" s="10">
        <v>42524.839247685188</v>
      </c>
      <c r="AA29" s="14">
        <f t="shared" si="0"/>
        <v>16287.091590787362</v>
      </c>
      <c r="AB29" s="11">
        <f t="shared" si="2"/>
        <v>116.19999999999891</v>
      </c>
      <c r="AC29" s="9">
        <v>116.2</v>
      </c>
      <c r="AD29" s="12">
        <v>119.232879</v>
      </c>
      <c r="AE29" s="13">
        <f t="shared" si="3"/>
        <v>0.22871003854678418</v>
      </c>
      <c r="AF29" s="13">
        <f t="shared" si="4"/>
        <v>0.2536416232748897</v>
      </c>
      <c r="AG29" s="15">
        <f t="shared" si="5"/>
        <v>0.20554744551264284</v>
      </c>
      <c r="AH29" s="11" t="s">
        <v>40</v>
      </c>
    </row>
    <row r="30" spans="1:34" ht="14.25">
      <c r="A30" s="9" t="s">
        <v>64</v>
      </c>
      <c r="B30" s="9" t="s">
        <v>34</v>
      </c>
      <c r="C30" s="9">
        <v>3.101</v>
      </c>
      <c r="D30" s="9">
        <v>14.634</v>
      </c>
      <c r="E30" s="9">
        <v>50.128999999999998</v>
      </c>
      <c r="F30" s="9">
        <v>0.29199999999999998</v>
      </c>
      <c r="G30" s="9">
        <v>10.167999999999999</v>
      </c>
      <c r="H30" s="9">
        <v>0.2</v>
      </c>
      <c r="I30" s="9">
        <v>8.1969999999999992</v>
      </c>
      <c r="J30" s="9">
        <v>7.7240000000000002</v>
      </c>
      <c r="K30" s="9">
        <v>1.4410000000000001</v>
      </c>
      <c r="L30" s="9">
        <v>4.2999999999999997E-2</v>
      </c>
      <c r="M30" s="9">
        <v>2.081</v>
      </c>
      <c r="Q30" s="9">
        <v>3.2000000000000001E-2</v>
      </c>
      <c r="R30" s="9">
        <v>98.040999999999997</v>
      </c>
      <c r="S30" s="9">
        <v>11205.3</v>
      </c>
      <c r="T30" s="9">
        <v>-998</v>
      </c>
      <c r="U30" s="9">
        <v>117</v>
      </c>
      <c r="V30" s="9" t="s">
        <v>34</v>
      </c>
      <c r="W30" s="9">
        <v>131.31</v>
      </c>
      <c r="X30" s="9">
        <v>12.6</v>
      </c>
      <c r="Y30" s="9">
        <v>30</v>
      </c>
      <c r="Z30" s="10">
        <v>42524.840868055559</v>
      </c>
      <c r="AA30" s="14">
        <f t="shared" si="0"/>
        <v>15406.108000194768</v>
      </c>
      <c r="AB30" s="11">
        <f t="shared" si="2"/>
        <v>121.19999999999891</v>
      </c>
      <c r="AC30" s="9">
        <v>121.2</v>
      </c>
      <c r="AD30" s="12">
        <v>119.17719700000001</v>
      </c>
      <c r="AE30" s="13">
        <f t="shared" si="3"/>
        <v>0.2709805888137955</v>
      </c>
      <c r="AF30" s="13">
        <f t="shared" si="4"/>
        <v>0.29844662977320457</v>
      </c>
      <c r="AG30" s="15">
        <f t="shared" si="5"/>
        <v>0.2449631634817056</v>
      </c>
      <c r="AH30" s="11" t="s">
        <v>40</v>
      </c>
    </row>
    <row r="31" spans="1:34" ht="14.25">
      <c r="A31" s="9" t="s">
        <v>65</v>
      </c>
      <c r="B31" s="9" t="s">
        <v>34</v>
      </c>
      <c r="C31" s="9">
        <v>2.9750000000000001</v>
      </c>
      <c r="D31" s="9">
        <v>14.629</v>
      </c>
      <c r="E31" s="9">
        <v>50.082000000000001</v>
      </c>
      <c r="F31" s="9">
        <v>0.29499999999999998</v>
      </c>
      <c r="G31" s="9">
        <v>10.212999999999999</v>
      </c>
      <c r="H31" s="9">
        <v>0.14399999999999999</v>
      </c>
      <c r="I31" s="9">
        <v>8.1039999999999992</v>
      </c>
      <c r="J31" s="9">
        <v>7.7489999999999997</v>
      </c>
      <c r="K31" s="9">
        <v>1.444</v>
      </c>
      <c r="L31" s="9">
        <v>3.9E-2</v>
      </c>
      <c r="M31" s="9">
        <v>2.077</v>
      </c>
      <c r="Q31" s="9">
        <v>0</v>
      </c>
      <c r="R31" s="9">
        <v>97.751999999999995</v>
      </c>
      <c r="S31" s="9">
        <v>11210.4</v>
      </c>
      <c r="T31" s="9">
        <v>-998</v>
      </c>
      <c r="U31" s="9">
        <v>117</v>
      </c>
      <c r="V31" s="9" t="s">
        <v>34</v>
      </c>
      <c r="W31" s="9">
        <v>136.36000000000001</v>
      </c>
      <c r="X31" s="9">
        <v>12.538</v>
      </c>
      <c r="Y31" s="9">
        <v>31</v>
      </c>
      <c r="Z31" s="10">
        <v>42524.842465277776</v>
      </c>
      <c r="AA31" s="14">
        <f t="shared" si="0"/>
        <v>15376.49510639334</v>
      </c>
      <c r="AB31" s="11">
        <f t="shared" si="2"/>
        <v>126.29999999999927</v>
      </c>
      <c r="AC31" s="9">
        <v>126.3</v>
      </c>
      <c r="AD31" s="12">
        <v>119.13227175</v>
      </c>
      <c r="AE31" s="13">
        <f t="shared" si="3"/>
        <v>0.27239938175786671</v>
      </c>
      <c r="AF31" s="13">
        <f t="shared" si="4"/>
        <v>0.29993364828618418</v>
      </c>
      <c r="AG31" s="15">
        <f t="shared" si="5"/>
        <v>0.24629873449659642</v>
      </c>
      <c r="AH31" s="11" t="s">
        <v>40</v>
      </c>
    </row>
    <row r="32" spans="1:34" ht="14.25">
      <c r="A32" s="9" t="s">
        <v>66</v>
      </c>
      <c r="B32" s="9" t="s">
        <v>34</v>
      </c>
      <c r="C32" s="9">
        <v>2.9590000000000001</v>
      </c>
      <c r="D32" s="9">
        <v>14.602</v>
      </c>
      <c r="E32" s="9">
        <v>50.470999999999997</v>
      </c>
      <c r="F32" s="9">
        <v>0.32</v>
      </c>
      <c r="G32" s="9">
        <v>10.196</v>
      </c>
      <c r="H32" s="9">
        <v>0.16600000000000001</v>
      </c>
      <c r="I32" s="9">
        <v>8.1760000000000002</v>
      </c>
      <c r="J32" s="9">
        <v>7.7409999999999997</v>
      </c>
      <c r="K32" s="9">
        <v>1.4710000000000001</v>
      </c>
      <c r="L32" s="9">
        <v>4.9000000000000002E-2</v>
      </c>
      <c r="M32" s="9">
        <v>2.08</v>
      </c>
      <c r="Q32" s="9">
        <v>0</v>
      </c>
      <c r="R32" s="9">
        <v>98.230999999999995</v>
      </c>
      <c r="S32" s="9">
        <v>11215.4</v>
      </c>
      <c r="T32" s="9">
        <v>-998</v>
      </c>
      <c r="U32" s="9">
        <v>117</v>
      </c>
      <c r="V32" s="9" t="s">
        <v>34</v>
      </c>
      <c r="W32" s="9">
        <v>141.41</v>
      </c>
      <c r="X32" s="9">
        <v>12.603999999999999</v>
      </c>
      <c r="Y32" s="9">
        <v>32</v>
      </c>
      <c r="Z32" s="10">
        <v>42524.844050925924</v>
      </c>
      <c r="AA32" s="14">
        <f t="shared" si="0"/>
        <v>15398.704776744411</v>
      </c>
      <c r="AB32" s="11">
        <f t="shared" si="2"/>
        <v>131.29999999999927</v>
      </c>
      <c r="AC32" s="9">
        <v>131.30000000000001</v>
      </c>
      <c r="AD32" s="12">
        <v>119.08797925</v>
      </c>
      <c r="AE32" s="13">
        <f t="shared" si="3"/>
        <v>0.27133154493925649</v>
      </c>
      <c r="AF32" s="13">
        <f t="shared" si="4"/>
        <v>0.29881456901960718</v>
      </c>
      <c r="AG32" s="15">
        <f t="shared" si="5"/>
        <v>0.24529345210049466</v>
      </c>
      <c r="AH32" s="11" t="s">
        <v>40</v>
      </c>
    </row>
    <row r="33" spans="1:34" ht="14.25">
      <c r="A33" s="9" t="s">
        <v>67</v>
      </c>
      <c r="B33" s="9" t="s">
        <v>34</v>
      </c>
      <c r="C33" s="9">
        <v>3.0009999999999999</v>
      </c>
      <c r="D33" s="9">
        <v>14.821</v>
      </c>
      <c r="E33" s="9">
        <v>50.213000000000001</v>
      </c>
      <c r="F33" s="9">
        <v>0.27300000000000002</v>
      </c>
      <c r="G33" s="9">
        <v>10.253</v>
      </c>
      <c r="H33" s="9">
        <v>0.17799999999999999</v>
      </c>
      <c r="I33" s="9">
        <v>8.0879999999999992</v>
      </c>
      <c r="J33" s="9">
        <v>7.7229999999999999</v>
      </c>
      <c r="K33" s="9">
        <v>1.476</v>
      </c>
      <c r="L33" s="9">
        <v>4.4999999999999998E-2</v>
      </c>
      <c r="M33" s="9">
        <v>1.956</v>
      </c>
      <c r="Q33" s="9">
        <v>0</v>
      </c>
      <c r="R33" s="9">
        <v>98.028000000000006</v>
      </c>
      <c r="S33" s="9">
        <v>11220.5</v>
      </c>
      <c r="T33" s="9">
        <v>-998</v>
      </c>
      <c r="U33" s="9">
        <v>117</v>
      </c>
      <c r="V33" s="9" t="s">
        <v>34</v>
      </c>
      <c r="W33" s="9">
        <v>146.46</v>
      </c>
      <c r="X33" s="9">
        <v>12.547000000000001</v>
      </c>
      <c r="Y33" s="9">
        <v>33</v>
      </c>
      <c r="Z33" s="10">
        <v>42524.845659722225</v>
      </c>
      <c r="AA33" s="14">
        <f t="shared" si="0"/>
        <v>14480.705068900035</v>
      </c>
      <c r="AB33" s="11">
        <f t="shared" si="2"/>
        <v>136.39999999999964</v>
      </c>
      <c r="AC33" s="9">
        <v>136.4</v>
      </c>
      <c r="AD33" s="12">
        <v>119.055708999999</v>
      </c>
      <c r="AE33" s="13">
        <f t="shared" si="3"/>
        <v>0.31537940440179268</v>
      </c>
      <c r="AF33" s="13">
        <f t="shared" si="4"/>
        <v>0.34441274482592155</v>
      </c>
      <c r="AG33" s="15">
        <f t="shared" si="5"/>
        <v>0.28720276996065058</v>
      </c>
      <c r="AH33" s="11" t="s">
        <v>40</v>
      </c>
    </row>
    <row r="34" spans="1:34" ht="14.25">
      <c r="A34" s="9" t="s">
        <v>68</v>
      </c>
      <c r="B34" s="9" t="s">
        <v>34</v>
      </c>
      <c r="C34" s="9">
        <v>2.9009999999999998</v>
      </c>
      <c r="D34" s="9">
        <v>14.542</v>
      </c>
      <c r="E34" s="9">
        <v>50.354999999999997</v>
      </c>
      <c r="F34" s="9">
        <v>0.33600000000000002</v>
      </c>
      <c r="G34" s="9">
        <v>10.115</v>
      </c>
      <c r="H34" s="9">
        <v>0.161</v>
      </c>
      <c r="I34" s="9">
        <v>7.99</v>
      </c>
      <c r="J34" s="9">
        <v>7.6840000000000002</v>
      </c>
      <c r="K34" s="9">
        <v>1.4570000000000001</v>
      </c>
      <c r="L34" s="9">
        <v>4.7E-2</v>
      </c>
      <c r="M34" s="9">
        <v>1.9930000000000001</v>
      </c>
      <c r="Q34" s="9">
        <v>1.2999999999999999E-2</v>
      </c>
      <c r="R34" s="9">
        <v>97.593000000000004</v>
      </c>
      <c r="S34" s="9">
        <v>11225.5</v>
      </c>
      <c r="T34" s="9">
        <v>-998</v>
      </c>
      <c r="U34" s="9">
        <v>117</v>
      </c>
      <c r="V34" s="9" t="s">
        <v>34</v>
      </c>
      <c r="W34" s="9">
        <v>151.52000000000001</v>
      </c>
      <c r="X34" s="9">
        <v>12.497999999999999</v>
      </c>
      <c r="Y34" s="9">
        <v>34</v>
      </c>
      <c r="Z34" s="10">
        <v>42524.847256944442</v>
      </c>
      <c r="AA34" s="14">
        <f t="shared" si="0"/>
        <v>14754.624336563276</v>
      </c>
      <c r="AB34" s="11">
        <f t="shared" si="2"/>
        <v>141.39999999999964</v>
      </c>
      <c r="AC34" s="9">
        <v>141.4</v>
      </c>
      <c r="AD34" s="12">
        <v>119.024071499999</v>
      </c>
      <c r="AE34" s="13">
        <f t="shared" si="3"/>
        <v>0.30223411135971301</v>
      </c>
      <c r="AF34" s="13">
        <f t="shared" si="4"/>
        <v>0.33092916384712717</v>
      </c>
      <c r="AG34" s="15">
        <f t="shared" si="5"/>
        <v>0.27459646274849048</v>
      </c>
      <c r="AH34" s="11" t="s">
        <v>40</v>
      </c>
    </row>
    <row r="35" spans="1:34" ht="14.25">
      <c r="A35" s="9" t="s">
        <v>69</v>
      </c>
      <c r="B35" s="9" t="s">
        <v>34</v>
      </c>
      <c r="C35" s="9">
        <v>3.0670000000000002</v>
      </c>
      <c r="D35" s="9">
        <v>14.628</v>
      </c>
      <c r="E35" s="9">
        <v>49.973999999999997</v>
      </c>
      <c r="F35" s="9">
        <v>0.27200000000000002</v>
      </c>
      <c r="G35" s="9">
        <v>10.016999999999999</v>
      </c>
      <c r="H35" s="9">
        <v>0.19700000000000001</v>
      </c>
      <c r="I35" s="9">
        <v>7.9219999999999997</v>
      </c>
      <c r="J35" s="9">
        <v>7.81</v>
      </c>
      <c r="K35" s="9">
        <v>1.4419999999999999</v>
      </c>
      <c r="L35" s="9">
        <v>3.7999999999999999E-2</v>
      </c>
      <c r="M35" s="9">
        <v>2.0179999999999998</v>
      </c>
      <c r="Q35" s="9">
        <v>0</v>
      </c>
      <c r="R35" s="9">
        <v>97.385999999999996</v>
      </c>
      <c r="S35" s="9">
        <v>11230.6</v>
      </c>
      <c r="T35" s="9">
        <v>-998</v>
      </c>
      <c r="U35" s="9">
        <v>117</v>
      </c>
      <c r="V35" s="9" t="s">
        <v>34</v>
      </c>
      <c r="W35" s="9">
        <v>156.57</v>
      </c>
      <c r="X35" s="9">
        <v>12.458</v>
      </c>
      <c r="Y35" s="9">
        <v>35</v>
      </c>
      <c r="Z35" s="10">
        <v>42524.848854166667</v>
      </c>
      <c r="AA35" s="14">
        <f t="shared" si="0"/>
        <v>14939.70492282222</v>
      </c>
      <c r="AB35" s="11">
        <f t="shared" si="2"/>
        <v>146.5</v>
      </c>
      <c r="AC35" s="9">
        <v>146.5</v>
      </c>
      <c r="AD35" s="12">
        <v>118.994964999999</v>
      </c>
      <c r="AE35" s="13">
        <f t="shared" si="3"/>
        <v>0.2933517856933836</v>
      </c>
      <c r="AF35" s="13">
        <f t="shared" si="4"/>
        <v>0.32175712490292735</v>
      </c>
      <c r="AG35" s="15">
        <f t="shared" si="5"/>
        <v>0.26612772096347953</v>
      </c>
      <c r="AH35" s="11" t="s">
        <v>40</v>
      </c>
    </row>
    <row r="36" spans="1:34" ht="14.25">
      <c r="A36" s="9" t="s">
        <v>70</v>
      </c>
      <c r="B36" s="9" t="s">
        <v>34</v>
      </c>
      <c r="C36" s="9">
        <v>2.9940000000000002</v>
      </c>
      <c r="D36" s="9">
        <v>14.721</v>
      </c>
      <c r="E36" s="9">
        <v>49.933999999999997</v>
      </c>
      <c r="F36" s="9">
        <v>0.31</v>
      </c>
      <c r="G36" s="9">
        <v>10.047000000000001</v>
      </c>
      <c r="H36" s="9">
        <v>0.16900000000000001</v>
      </c>
      <c r="I36" s="9">
        <v>8.1170000000000009</v>
      </c>
      <c r="J36" s="9">
        <v>7.7889999999999997</v>
      </c>
      <c r="K36" s="9">
        <v>1.409</v>
      </c>
      <c r="L36" s="9">
        <v>4.7E-2</v>
      </c>
      <c r="M36" s="9">
        <v>1.954</v>
      </c>
      <c r="Q36" s="9">
        <v>2.1999999999999999E-2</v>
      </c>
      <c r="R36" s="9">
        <v>97.512</v>
      </c>
      <c r="S36" s="9">
        <v>11235.6</v>
      </c>
      <c r="T36" s="9">
        <v>-998</v>
      </c>
      <c r="U36" s="9">
        <v>117</v>
      </c>
      <c r="V36" s="9" t="s">
        <v>34</v>
      </c>
      <c r="W36" s="9">
        <v>161.62</v>
      </c>
      <c r="X36" s="9">
        <v>12.492000000000001</v>
      </c>
      <c r="Y36" s="9">
        <v>36</v>
      </c>
      <c r="Z36" s="10">
        <v>42524.850451388891</v>
      </c>
      <c r="AA36" s="14">
        <f t="shared" ref="AA36:AA67" si="6">M36/(91.224+15.999*2)*91.224*10000</f>
        <v>14465.898621999318</v>
      </c>
      <c r="AB36" s="11">
        <f t="shared" si="2"/>
        <v>151.5</v>
      </c>
      <c r="AC36" s="9">
        <v>151.5</v>
      </c>
      <c r="AD36" s="12">
        <v>118.97281875</v>
      </c>
      <c r="AE36" s="13">
        <f t="shared" si="3"/>
        <v>0.31608590130743364</v>
      </c>
      <c r="AF36" s="13">
        <f t="shared" si="4"/>
        <v>0.34513430365965597</v>
      </c>
      <c r="AG36" s="15">
        <f t="shared" si="5"/>
        <v>0.28788285475348729</v>
      </c>
      <c r="AH36" s="11" t="s">
        <v>40</v>
      </c>
    </row>
    <row r="37" spans="1:34" ht="14.25">
      <c r="A37" s="9" t="s">
        <v>71</v>
      </c>
      <c r="B37" s="9" t="s">
        <v>34</v>
      </c>
      <c r="C37" s="9">
        <v>3.0030000000000001</v>
      </c>
      <c r="D37" s="9">
        <v>14.564</v>
      </c>
      <c r="E37" s="9">
        <v>50.07</v>
      </c>
      <c r="F37" s="9">
        <v>0.26700000000000002</v>
      </c>
      <c r="G37" s="9">
        <v>10.099</v>
      </c>
      <c r="H37" s="9">
        <v>0.14899999999999999</v>
      </c>
      <c r="I37" s="9">
        <v>8.1010000000000009</v>
      </c>
      <c r="J37" s="9">
        <v>7.758</v>
      </c>
      <c r="K37" s="9">
        <v>1.4470000000000001</v>
      </c>
      <c r="L37" s="9">
        <v>0.04</v>
      </c>
      <c r="M37" s="9">
        <v>1.8839999999999999</v>
      </c>
      <c r="Q37" s="9">
        <v>0.11899999999999999</v>
      </c>
      <c r="R37" s="9">
        <v>97.501000000000005</v>
      </c>
      <c r="S37" s="9">
        <v>11240.7</v>
      </c>
      <c r="T37" s="9">
        <v>-998</v>
      </c>
      <c r="U37" s="9">
        <v>117</v>
      </c>
      <c r="V37" s="9" t="s">
        <v>34</v>
      </c>
      <c r="W37" s="9">
        <v>166.67</v>
      </c>
      <c r="X37" s="9">
        <v>12.523999999999999</v>
      </c>
      <c r="Y37" s="9">
        <v>37</v>
      </c>
      <c r="Z37" s="10">
        <v>42524.852083333331</v>
      </c>
      <c r="AA37" s="14">
        <f t="shared" si="6"/>
        <v>13947.672980474264</v>
      </c>
      <c r="AB37" s="11">
        <f t="shared" si="2"/>
        <v>156.60000000000036</v>
      </c>
      <c r="AC37" s="9">
        <v>156.599999999999</v>
      </c>
      <c r="AD37" s="12">
        <v>118.9532035</v>
      </c>
      <c r="AE37" s="13">
        <f t="shared" si="3"/>
        <v>0.34095156133326232</v>
      </c>
      <c r="AF37" s="13">
        <f t="shared" si="4"/>
        <v>0.3703207250135323</v>
      </c>
      <c r="AG37" s="15">
        <f t="shared" si="5"/>
        <v>0.31199482814292079</v>
      </c>
      <c r="AH37" s="11" t="s">
        <v>40</v>
      </c>
    </row>
    <row r="38" spans="1:34" ht="14.25">
      <c r="A38" s="9" t="s">
        <v>72</v>
      </c>
      <c r="B38" s="9" t="s">
        <v>34</v>
      </c>
      <c r="C38" s="9">
        <v>2.9260000000000002</v>
      </c>
      <c r="D38" s="9">
        <v>14.736000000000001</v>
      </c>
      <c r="E38" s="9">
        <v>50.518000000000001</v>
      </c>
      <c r="F38" s="9">
        <v>0.308</v>
      </c>
      <c r="G38" s="9">
        <v>10.205</v>
      </c>
      <c r="H38" s="9">
        <v>0.17799999999999999</v>
      </c>
      <c r="I38" s="9">
        <v>8.0679999999999996</v>
      </c>
      <c r="J38" s="9">
        <v>7.742</v>
      </c>
      <c r="K38" s="9">
        <v>1.423</v>
      </c>
      <c r="L38" s="9">
        <v>5.6000000000000001E-2</v>
      </c>
      <c r="M38" s="9">
        <v>1.889</v>
      </c>
      <c r="Q38" s="9">
        <v>0</v>
      </c>
      <c r="R38" s="9">
        <v>98.049000000000007</v>
      </c>
      <c r="S38" s="9">
        <v>11245.7</v>
      </c>
      <c r="T38" s="9">
        <v>-998</v>
      </c>
      <c r="U38" s="9">
        <v>117</v>
      </c>
      <c r="V38" s="9" t="s">
        <v>34</v>
      </c>
      <c r="W38" s="9">
        <v>171.72</v>
      </c>
      <c r="X38" s="9">
        <v>12.531000000000001</v>
      </c>
      <c r="Y38" s="9">
        <v>38</v>
      </c>
      <c r="Z38" s="10">
        <v>42524.853668981479</v>
      </c>
      <c r="AA38" s="14">
        <f t="shared" si="6"/>
        <v>13984.689097726055</v>
      </c>
      <c r="AB38" s="11">
        <f t="shared" si="2"/>
        <v>161.60000000000036</v>
      </c>
      <c r="AC38" s="9">
        <v>161.599999999999</v>
      </c>
      <c r="AD38" s="12">
        <v>118.93422099999999</v>
      </c>
      <c r="AE38" s="13">
        <f t="shared" si="3"/>
        <v>0.33917446467139933</v>
      </c>
      <c r="AF38" s="13">
        <f t="shared" si="4"/>
        <v>0.36853447201969297</v>
      </c>
      <c r="AG38" s="15">
        <f t="shared" si="5"/>
        <v>0.31025984251936761</v>
      </c>
      <c r="AH38" s="11" t="s">
        <v>40</v>
      </c>
    </row>
    <row r="39" spans="1:34" ht="14.25">
      <c r="A39" s="9" t="s">
        <v>73</v>
      </c>
      <c r="B39" s="9" t="s">
        <v>34</v>
      </c>
      <c r="C39" s="9">
        <v>2.9790000000000001</v>
      </c>
      <c r="D39" s="9">
        <v>14.663</v>
      </c>
      <c r="E39" s="9">
        <v>50.23</v>
      </c>
      <c r="F39" s="9">
        <v>0.32200000000000001</v>
      </c>
      <c r="G39" s="9">
        <v>10.045999999999999</v>
      </c>
      <c r="H39" s="9">
        <v>0.18099999999999999</v>
      </c>
      <c r="I39" s="9">
        <v>8.0519999999999996</v>
      </c>
      <c r="J39" s="9">
        <v>7.7649999999999997</v>
      </c>
      <c r="K39" s="9">
        <v>1.4430000000000001</v>
      </c>
      <c r="L39" s="9">
        <v>0.03</v>
      </c>
      <c r="M39" s="9">
        <v>1.8939999999999999</v>
      </c>
      <c r="Q39" s="9">
        <v>0</v>
      </c>
      <c r="R39" s="9">
        <v>97.605000000000004</v>
      </c>
      <c r="S39" s="9">
        <v>11250.8</v>
      </c>
      <c r="T39" s="9">
        <v>-998</v>
      </c>
      <c r="U39" s="9">
        <v>117</v>
      </c>
      <c r="V39" s="9" t="s">
        <v>34</v>
      </c>
      <c r="W39" s="9">
        <v>176.77</v>
      </c>
      <c r="X39" s="9">
        <v>12.473000000000001</v>
      </c>
      <c r="Y39" s="9">
        <v>39</v>
      </c>
      <c r="Z39" s="10">
        <v>42524.855254629627</v>
      </c>
      <c r="AA39" s="14">
        <f t="shared" si="6"/>
        <v>14021.705214977845</v>
      </c>
      <c r="AB39" s="11">
        <f t="shared" ref="AB39:AB70" si="7">S39-S$6</f>
        <v>166.69999999999891</v>
      </c>
      <c r="AC39" s="9">
        <v>166.69999999999899</v>
      </c>
      <c r="AD39" s="12">
        <v>118.914605749999</v>
      </c>
      <c r="AE39" s="13">
        <f t="shared" si="3"/>
        <v>0.33739733764758451</v>
      </c>
      <c r="AF39" s="13">
        <f t="shared" si="4"/>
        <v>0.36674603384199728</v>
      </c>
      <c r="AG39" s="15">
        <f t="shared" si="5"/>
        <v>0.3085266931681917</v>
      </c>
      <c r="AH39" s="11" t="s">
        <v>40</v>
      </c>
    </row>
    <row r="40" spans="1:34" ht="14.25">
      <c r="A40" s="9" t="s">
        <v>74</v>
      </c>
      <c r="B40" s="9" t="s">
        <v>34</v>
      </c>
      <c r="C40" s="9">
        <v>2.952</v>
      </c>
      <c r="D40" s="9">
        <v>14.536</v>
      </c>
      <c r="E40" s="9">
        <v>49.936999999999998</v>
      </c>
      <c r="F40" s="9">
        <v>0.33</v>
      </c>
      <c r="G40" s="9">
        <v>10.025</v>
      </c>
      <c r="H40" s="9">
        <v>0.13200000000000001</v>
      </c>
      <c r="I40" s="9">
        <v>8.1460000000000008</v>
      </c>
      <c r="J40" s="9">
        <v>7.819</v>
      </c>
      <c r="K40" s="9">
        <v>1.4279999999999999</v>
      </c>
      <c r="L40" s="9">
        <v>4.2000000000000003E-2</v>
      </c>
      <c r="M40" s="9">
        <v>1.8149999999999999</v>
      </c>
      <c r="Q40" s="9">
        <v>0.02</v>
      </c>
      <c r="R40" s="9">
        <v>97.183000000000007</v>
      </c>
      <c r="S40" s="9">
        <v>11255.8</v>
      </c>
      <c r="T40" s="9">
        <v>-998</v>
      </c>
      <c r="U40" s="9">
        <v>117</v>
      </c>
      <c r="V40" s="9" t="s">
        <v>34</v>
      </c>
      <c r="W40" s="9">
        <v>181.82</v>
      </c>
      <c r="X40" s="9">
        <v>12.426</v>
      </c>
      <c r="Y40" s="9">
        <v>40</v>
      </c>
      <c r="Z40" s="10">
        <v>42524.856874999998</v>
      </c>
      <c r="AA40" s="14">
        <f t="shared" si="6"/>
        <v>13436.850562399572</v>
      </c>
      <c r="AB40" s="11">
        <f t="shared" si="7"/>
        <v>171.69999999999891</v>
      </c>
      <c r="AC40" s="9">
        <v>171.69999999999899</v>
      </c>
      <c r="AD40" s="12">
        <v>118.90638</v>
      </c>
      <c r="AE40" s="13">
        <f t="shared" si="3"/>
        <v>0.3654606786345026</v>
      </c>
      <c r="AF40" s="13">
        <f t="shared" si="4"/>
        <v>0.39473176015259653</v>
      </c>
      <c r="AG40" s="15">
        <f t="shared" si="5"/>
        <v>0.33612142738517509</v>
      </c>
      <c r="AH40" s="11" t="s">
        <v>40</v>
      </c>
    </row>
    <row r="41" spans="1:34" ht="14.25">
      <c r="A41" s="9" t="s">
        <v>75</v>
      </c>
      <c r="B41" s="9" t="s">
        <v>34</v>
      </c>
      <c r="C41" s="9">
        <v>2.9119999999999999</v>
      </c>
      <c r="D41" s="9">
        <v>14.7</v>
      </c>
      <c r="E41" s="9">
        <v>50.337000000000003</v>
      </c>
      <c r="F41" s="9">
        <v>0.311</v>
      </c>
      <c r="G41" s="9">
        <v>10.236000000000001</v>
      </c>
      <c r="H41" s="9">
        <v>0.155</v>
      </c>
      <c r="I41" s="9">
        <v>8.2360000000000007</v>
      </c>
      <c r="J41" s="9">
        <v>7.72</v>
      </c>
      <c r="K41" s="9">
        <v>1.446</v>
      </c>
      <c r="L41" s="9">
        <v>3.5999999999999997E-2</v>
      </c>
      <c r="M41" s="9">
        <v>1.7410000000000001</v>
      </c>
      <c r="Q41" s="9">
        <v>0</v>
      </c>
      <c r="R41" s="9">
        <v>97.83</v>
      </c>
      <c r="S41" s="9">
        <v>11260.9</v>
      </c>
      <c r="T41" s="9">
        <v>-998</v>
      </c>
      <c r="U41" s="9">
        <v>117</v>
      </c>
      <c r="V41" s="9" t="s">
        <v>34</v>
      </c>
      <c r="W41" s="9">
        <v>186.87</v>
      </c>
      <c r="X41" s="9">
        <v>12.494999999999999</v>
      </c>
      <c r="Y41" s="9">
        <v>41</v>
      </c>
      <c r="Z41" s="10">
        <v>42524.858495370368</v>
      </c>
      <c r="AA41" s="14">
        <f t="shared" si="6"/>
        <v>12889.012027073088</v>
      </c>
      <c r="AB41" s="11">
        <f t="shared" si="7"/>
        <v>176.79999999999927</v>
      </c>
      <c r="AC41" s="9">
        <v>176.8</v>
      </c>
      <c r="AD41" s="12">
        <v>118.888662999999</v>
      </c>
      <c r="AE41" s="13">
        <f t="shared" si="3"/>
        <v>0.39174737838883422</v>
      </c>
      <c r="AF41" s="13">
        <f t="shared" si="4"/>
        <v>0.42043104723620278</v>
      </c>
      <c r="AG41" s="15">
        <f t="shared" si="5"/>
        <v>0.36244123909150516</v>
      </c>
      <c r="AH41" s="11" t="s">
        <v>40</v>
      </c>
    </row>
    <row r="42" spans="1:34" ht="14.25">
      <c r="A42" s="9" t="s">
        <v>76</v>
      </c>
      <c r="B42" s="9" t="s">
        <v>34</v>
      </c>
      <c r="C42" s="9">
        <v>2.9430000000000001</v>
      </c>
      <c r="D42" s="9">
        <v>14.67</v>
      </c>
      <c r="E42" s="9">
        <v>49.97</v>
      </c>
      <c r="F42" s="9">
        <v>0.32</v>
      </c>
      <c r="G42" s="9">
        <v>10.192</v>
      </c>
      <c r="H42" s="9">
        <v>0.16500000000000001</v>
      </c>
      <c r="I42" s="9">
        <v>8.2720000000000002</v>
      </c>
      <c r="J42" s="9">
        <v>7.7569999999999997</v>
      </c>
      <c r="K42" s="9">
        <v>1.478</v>
      </c>
      <c r="L42" s="9">
        <v>5.8999999999999997E-2</v>
      </c>
      <c r="M42" s="9">
        <v>1.7809999999999999</v>
      </c>
      <c r="Q42" s="9">
        <v>3.0000000000000001E-3</v>
      </c>
      <c r="R42" s="9">
        <v>97.608999999999995</v>
      </c>
      <c r="S42" s="9">
        <v>11265.9</v>
      </c>
      <c r="T42" s="9">
        <v>-998</v>
      </c>
      <c r="U42" s="9">
        <v>117</v>
      </c>
      <c r="V42" s="9" t="s">
        <v>34</v>
      </c>
      <c r="W42" s="9">
        <v>191.92</v>
      </c>
      <c r="X42" s="9">
        <v>12.487</v>
      </c>
      <c r="Y42" s="9">
        <v>42</v>
      </c>
      <c r="Z42" s="10">
        <v>42524.860081018516</v>
      </c>
      <c r="AA42" s="14">
        <f t="shared" si="6"/>
        <v>13185.140965087401</v>
      </c>
      <c r="AB42" s="11">
        <f t="shared" si="7"/>
        <v>181.79999999999927</v>
      </c>
      <c r="AC42" s="9">
        <v>181.8</v>
      </c>
      <c r="AD42" s="12">
        <v>118.8696805</v>
      </c>
      <c r="AE42" s="13">
        <f t="shared" si="3"/>
        <v>0.37753698110380451</v>
      </c>
      <c r="AF42" s="13">
        <f t="shared" si="4"/>
        <v>0.40660167597746993</v>
      </c>
      <c r="AG42" s="15">
        <f t="shared" si="5"/>
        <v>0.34815294789456575</v>
      </c>
      <c r="AH42" s="11" t="s">
        <v>40</v>
      </c>
    </row>
    <row r="43" spans="1:34" ht="14.25">
      <c r="A43" s="9" t="s">
        <v>77</v>
      </c>
      <c r="B43" s="9" t="s">
        <v>34</v>
      </c>
      <c r="C43" s="9">
        <v>2.9830000000000001</v>
      </c>
      <c r="D43" s="9">
        <v>14.667</v>
      </c>
      <c r="E43" s="9">
        <v>50.237000000000002</v>
      </c>
      <c r="F43" s="9">
        <v>0.34200000000000003</v>
      </c>
      <c r="G43" s="9">
        <v>10.249000000000001</v>
      </c>
      <c r="H43" s="9">
        <v>0.13900000000000001</v>
      </c>
      <c r="I43" s="9">
        <v>8.1379999999999999</v>
      </c>
      <c r="J43" s="9">
        <v>7.7830000000000004</v>
      </c>
      <c r="K43" s="9">
        <v>1.423</v>
      </c>
      <c r="L43" s="9">
        <v>4.5999999999999999E-2</v>
      </c>
      <c r="M43" s="9">
        <v>1.623</v>
      </c>
      <c r="Q43" s="9">
        <v>8.0000000000000002E-3</v>
      </c>
      <c r="R43" s="9">
        <v>97.638999999999996</v>
      </c>
      <c r="S43" s="9">
        <v>11271</v>
      </c>
      <c r="T43" s="9">
        <v>-998</v>
      </c>
      <c r="U43" s="9">
        <v>117</v>
      </c>
      <c r="V43" s="9" t="s">
        <v>34</v>
      </c>
      <c r="W43" s="9">
        <v>196.97</v>
      </c>
      <c r="X43" s="9">
        <v>12.443</v>
      </c>
      <c r="Y43" s="9">
        <v>43</v>
      </c>
      <c r="Z43" s="10">
        <v>42524.861678240741</v>
      </c>
      <c r="AA43" s="14">
        <f t="shared" si="6"/>
        <v>12015.431659930857</v>
      </c>
      <c r="AB43" s="11">
        <f t="shared" si="7"/>
        <v>186.89999999999964</v>
      </c>
      <c r="AC43" s="9">
        <v>186.9</v>
      </c>
      <c r="AD43" s="12">
        <v>118.86272025</v>
      </c>
      <c r="AE43" s="13">
        <f t="shared" si="3"/>
        <v>0.43366411850691688</v>
      </c>
      <c r="AF43" s="13">
        <f t="shared" si="4"/>
        <v>0.46031782710774394</v>
      </c>
      <c r="AG43" s="15">
        <f t="shared" si="5"/>
        <v>0.40549473209324732</v>
      </c>
      <c r="AH43" s="11" t="s">
        <v>40</v>
      </c>
    </row>
    <row r="44" spans="1:34" ht="14.25">
      <c r="A44" s="9" t="s">
        <v>78</v>
      </c>
      <c r="B44" s="9" t="s">
        <v>34</v>
      </c>
      <c r="C44" s="9">
        <v>3.0209999999999999</v>
      </c>
      <c r="D44" s="9">
        <v>14.912000000000001</v>
      </c>
      <c r="E44" s="9">
        <v>50.119</v>
      </c>
      <c r="F44" s="9">
        <v>0.27800000000000002</v>
      </c>
      <c r="G44" s="9">
        <v>10.042</v>
      </c>
      <c r="H44" s="9">
        <v>0.182</v>
      </c>
      <c r="I44" s="9">
        <v>8.0510000000000002</v>
      </c>
      <c r="J44" s="9">
        <v>7.7439999999999998</v>
      </c>
      <c r="K44" s="9">
        <v>1.468</v>
      </c>
      <c r="L44" s="9">
        <v>4.2000000000000003E-2</v>
      </c>
      <c r="M44" s="9">
        <v>1.6359999999999999</v>
      </c>
      <c r="Q44" s="9">
        <v>1.4999999999999999E-2</v>
      </c>
      <c r="R44" s="9">
        <v>97.507999999999996</v>
      </c>
      <c r="S44" s="9">
        <v>11276</v>
      </c>
      <c r="T44" s="9">
        <v>-998</v>
      </c>
      <c r="U44" s="9">
        <v>117</v>
      </c>
      <c r="V44" s="9" t="s">
        <v>34</v>
      </c>
      <c r="W44" s="9">
        <v>202.02</v>
      </c>
      <c r="X44" s="9">
        <v>12.414999999999999</v>
      </c>
      <c r="Y44" s="9">
        <v>44</v>
      </c>
      <c r="Z44" s="10">
        <v>42524.863298611112</v>
      </c>
      <c r="AA44" s="14">
        <f t="shared" si="6"/>
        <v>12111.673564785508</v>
      </c>
      <c r="AB44" s="11">
        <f t="shared" si="7"/>
        <v>191.89999999999964</v>
      </c>
      <c r="AC44" s="9">
        <v>191.9</v>
      </c>
      <c r="AD44" s="12">
        <v>118.85576</v>
      </c>
      <c r="AE44" s="13">
        <f t="shared" si="3"/>
        <v>0.42904570143684251</v>
      </c>
      <c r="AF44" s="13">
        <f t="shared" si="4"/>
        <v>0.45599129603015287</v>
      </c>
      <c r="AG44" s="15">
        <f t="shared" si="5"/>
        <v>0.40067966308867431</v>
      </c>
      <c r="AH44" s="11" t="s">
        <v>40</v>
      </c>
    </row>
    <row r="45" spans="1:34" ht="14.25">
      <c r="A45" s="9" t="s">
        <v>79</v>
      </c>
      <c r="B45" s="9" t="s">
        <v>34</v>
      </c>
      <c r="C45" s="9">
        <v>2.9430000000000001</v>
      </c>
      <c r="D45" s="9">
        <v>14.654999999999999</v>
      </c>
      <c r="E45" s="9">
        <v>50.000999999999998</v>
      </c>
      <c r="F45" s="9">
        <v>0.30199999999999999</v>
      </c>
      <c r="G45" s="9">
        <v>10.106</v>
      </c>
      <c r="H45" s="9">
        <v>0.18099999999999999</v>
      </c>
      <c r="I45" s="9">
        <v>8.1820000000000004</v>
      </c>
      <c r="J45" s="9">
        <v>7.7439999999999998</v>
      </c>
      <c r="K45" s="9">
        <v>1.454</v>
      </c>
      <c r="L45" s="9">
        <v>4.4999999999999998E-2</v>
      </c>
      <c r="M45" s="9">
        <v>1.65</v>
      </c>
      <c r="Q45" s="9">
        <v>0</v>
      </c>
      <c r="R45" s="9">
        <v>97.263999999999996</v>
      </c>
      <c r="S45" s="9">
        <v>11281.1</v>
      </c>
      <c r="T45" s="9">
        <v>-998</v>
      </c>
      <c r="U45" s="9">
        <v>117</v>
      </c>
      <c r="V45" s="9" t="s">
        <v>34</v>
      </c>
      <c r="W45" s="9">
        <v>207.07</v>
      </c>
      <c r="X45" s="9">
        <v>12.404</v>
      </c>
      <c r="Y45" s="9">
        <v>45</v>
      </c>
      <c r="Z45" s="10">
        <v>42524.864918981482</v>
      </c>
      <c r="AA45" s="14">
        <f t="shared" si="6"/>
        <v>12215.318693090518</v>
      </c>
      <c r="AB45" s="11">
        <f t="shared" si="7"/>
        <v>197</v>
      </c>
      <c r="AC45" s="9">
        <v>197</v>
      </c>
      <c r="AD45" s="12">
        <v>118.843104999999</v>
      </c>
      <c r="AE45" s="13">
        <f t="shared" si="3"/>
        <v>0.42407177394854012</v>
      </c>
      <c r="AF45" s="13">
        <f t="shared" si="4"/>
        <v>0.45131251161121305</v>
      </c>
      <c r="AG45" s="15">
        <f t="shared" si="5"/>
        <v>0.39551463578749652</v>
      </c>
      <c r="AH45" s="11" t="s">
        <v>40</v>
      </c>
    </row>
    <row r="46" spans="1:34" ht="14.25">
      <c r="A46" s="9" t="s">
        <v>80</v>
      </c>
      <c r="B46" s="9" t="s">
        <v>34</v>
      </c>
      <c r="C46" s="9">
        <v>3.0209999999999999</v>
      </c>
      <c r="D46" s="9">
        <v>14.727</v>
      </c>
      <c r="E46" s="9">
        <v>50.402999999999999</v>
      </c>
      <c r="F46" s="9">
        <v>0.314</v>
      </c>
      <c r="G46" s="9">
        <v>10.154999999999999</v>
      </c>
      <c r="H46" s="9">
        <v>0.17299999999999999</v>
      </c>
      <c r="I46" s="9">
        <v>8.0820000000000007</v>
      </c>
      <c r="J46" s="9">
        <v>7.7510000000000003</v>
      </c>
      <c r="K46" s="9">
        <v>1.4610000000000001</v>
      </c>
      <c r="L46" s="9">
        <v>0.06</v>
      </c>
      <c r="M46" s="9">
        <v>1.5649999999999999</v>
      </c>
      <c r="Q46" s="9">
        <v>2.5000000000000001E-2</v>
      </c>
      <c r="R46" s="9">
        <v>97.738</v>
      </c>
      <c r="S46" s="9">
        <v>11286.1</v>
      </c>
      <c r="T46" s="9">
        <v>-998</v>
      </c>
      <c r="U46" s="9">
        <v>117</v>
      </c>
      <c r="V46" s="9" t="s">
        <v>34</v>
      </c>
      <c r="W46" s="9">
        <v>212.12</v>
      </c>
      <c r="X46" s="9">
        <v>12.444000000000001</v>
      </c>
      <c r="Y46" s="9">
        <v>46</v>
      </c>
      <c r="Z46" s="10">
        <v>42524.866550925923</v>
      </c>
      <c r="AA46" s="14">
        <f t="shared" si="6"/>
        <v>11586.044699810098</v>
      </c>
      <c r="AB46" s="11">
        <f t="shared" si="7"/>
        <v>202</v>
      </c>
      <c r="AC46" s="9">
        <v>202</v>
      </c>
      <c r="AD46" s="12">
        <v>118.843104999999</v>
      </c>
      <c r="AE46" s="13">
        <f t="shared" si="3"/>
        <v>0.45426693260480255</v>
      </c>
      <c r="AF46" s="13">
        <f t="shared" si="4"/>
        <v>0.47940627050888818</v>
      </c>
      <c r="AG46" s="15">
        <f t="shared" si="5"/>
        <v>0.42721010512302005</v>
      </c>
      <c r="AH46" s="11" t="s">
        <v>40</v>
      </c>
    </row>
    <row r="47" spans="1:34" ht="14.25">
      <c r="A47" s="9" t="s">
        <v>81</v>
      </c>
      <c r="B47" s="9" t="s">
        <v>34</v>
      </c>
      <c r="C47" s="9">
        <v>2.9369999999999998</v>
      </c>
      <c r="D47" s="9">
        <v>14.693</v>
      </c>
      <c r="E47" s="9">
        <v>50.15</v>
      </c>
      <c r="F47" s="9">
        <v>0.28999999999999998</v>
      </c>
      <c r="G47" s="9">
        <v>10.048</v>
      </c>
      <c r="H47" s="9">
        <v>0.16200000000000001</v>
      </c>
      <c r="I47" s="9">
        <v>7.907</v>
      </c>
      <c r="J47" s="9">
        <v>7.8</v>
      </c>
      <c r="K47" s="9">
        <v>1.4750000000000001</v>
      </c>
      <c r="L47" s="9">
        <v>4.5999999999999999E-2</v>
      </c>
      <c r="M47" s="9">
        <v>1.6970000000000001</v>
      </c>
      <c r="Q47" s="9">
        <v>0</v>
      </c>
      <c r="R47" s="9">
        <v>97.204999999999998</v>
      </c>
      <c r="S47" s="9">
        <v>11291.2</v>
      </c>
      <c r="T47" s="9">
        <v>-998</v>
      </c>
      <c r="U47" s="9">
        <v>117</v>
      </c>
      <c r="V47" s="9" t="s">
        <v>34</v>
      </c>
      <c r="W47" s="9">
        <v>217.17</v>
      </c>
      <c r="X47" s="9">
        <v>12.372</v>
      </c>
      <c r="Y47" s="9">
        <v>47</v>
      </c>
      <c r="Z47" s="10">
        <v>42524.868171296293</v>
      </c>
      <c r="AA47" s="14">
        <f t="shared" si="6"/>
        <v>12563.270195257339</v>
      </c>
      <c r="AB47" s="11">
        <f t="shared" si="7"/>
        <v>207.10000000000036</v>
      </c>
      <c r="AC47" s="9">
        <v>207.099999999999</v>
      </c>
      <c r="AD47" s="12">
        <v>118.843104999999</v>
      </c>
      <c r="AE47" s="13">
        <f t="shared" si="3"/>
        <v>0.40737562739743027</v>
      </c>
      <c r="AF47" s="13">
        <f t="shared" si="4"/>
        <v>0.4354633153625222</v>
      </c>
      <c r="AG47" s="15">
        <f t="shared" si="5"/>
        <v>0.37832818835489479</v>
      </c>
      <c r="AH47" s="11" t="s">
        <v>40</v>
      </c>
    </row>
    <row r="48" spans="1:34" ht="14.25">
      <c r="A48" s="9" t="s">
        <v>82</v>
      </c>
      <c r="B48" s="9" t="s">
        <v>34</v>
      </c>
      <c r="C48" s="9">
        <v>3.0779999999999998</v>
      </c>
      <c r="D48" s="9">
        <v>14.744999999999999</v>
      </c>
      <c r="E48" s="9">
        <v>50.484999999999999</v>
      </c>
      <c r="F48" s="9">
        <v>0.26800000000000002</v>
      </c>
      <c r="G48" s="9">
        <v>10.18</v>
      </c>
      <c r="H48" s="9">
        <v>0.21</v>
      </c>
      <c r="I48" s="9">
        <v>8.1340000000000003</v>
      </c>
      <c r="J48" s="9">
        <v>7.9039999999999999</v>
      </c>
      <c r="K48" s="9">
        <v>1.431</v>
      </c>
      <c r="L48" s="9">
        <v>4.5999999999999999E-2</v>
      </c>
      <c r="M48" s="9">
        <v>1.5329999999999999</v>
      </c>
      <c r="Q48" s="9">
        <v>0</v>
      </c>
      <c r="R48" s="9">
        <v>98.013999999999996</v>
      </c>
      <c r="S48" s="9">
        <v>11296.2</v>
      </c>
      <c r="T48" s="9">
        <v>-998</v>
      </c>
      <c r="U48" s="9">
        <v>117</v>
      </c>
      <c r="V48" s="9" t="s">
        <v>34</v>
      </c>
      <c r="W48" s="9">
        <v>222.22</v>
      </c>
      <c r="X48" s="9">
        <v>12.458</v>
      </c>
      <c r="Y48" s="9">
        <v>48</v>
      </c>
      <c r="Z48" s="10">
        <v>42524.869780092595</v>
      </c>
      <c r="AA48" s="14">
        <f t="shared" si="6"/>
        <v>11349.141549398644</v>
      </c>
      <c r="AB48" s="11">
        <f t="shared" si="7"/>
        <v>212.10000000000036</v>
      </c>
      <c r="AC48" s="9">
        <v>212.099999999999</v>
      </c>
      <c r="AD48" s="12">
        <v>118.843104999999</v>
      </c>
      <c r="AE48" s="13">
        <f t="shared" si="3"/>
        <v>0.46563452174598385</v>
      </c>
      <c r="AF48" s="13">
        <f t="shared" si="4"/>
        <v>0.4897873783700209</v>
      </c>
      <c r="AG48" s="15">
        <f t="shared" si="5"/>
        <v>0.43936497365270888</v>
      </c>
      <c r="AH48" s="11" t="s">
        <v>40</v>
      </c>
    </row>
    <row r="49" spans="1:34" ht="14.25">
      <c r="A49" s="9" t="s">
        <v>83</v>
      </c>
      <c r="B49" s="9" t="s">
        <v>34</v>
      </c>
      <c r="C49" s="9">
        <v>2.8839999999999999</v>
      </c>
      <c r="D49" s="9">
        <v>14.7</v>
      </c>
      <c r="E49" s="9">
        <v>50.420999999999999</v>
      </c>
      <c r="F49" s="9">
        <v>0.28299999999999997</v>
      </c>
      <c r="G49" s="9">
        <v>10.063000000000001</v>
      </c>
      <c r="H49" s="9">
        <v>0.186</v>
      </c>
      <c r="I49" s="9">
        <v>8.0440000000000005</v>
      </c>
      <c r="J49" s="9">
        <v>7.7460000000000004</v>
      </c>
      <c r="K49" s="9">
        <v>1.492</v>
      </c>
      <c r="L49" s="9">
        <v>5.0999999999999997E-2</v>
      </c>
      <c r="M49" s="9">
        <v>1.5449999999999999</v>
      </c>
      <c r="Q49" s="9">
        <v>0</v>
      </c>
      <c r="R49" s="9">
        <v>97.414000000000001</v>
      </c>
      <c r="S49" s="9">
        <v>11301.3</v>
      </c>
      <c r="T49" s="9">
        <v>-998</v>
      </c>
      <c r="U49" s="9">
        <v>117</v>
      </c>
      <c r="V49" s="9" t="s">
        <v>34</v>
      </c>
      <c r="W49" s="9">
        <v>227.27</v>
      </c>
      <c r="X49" s="9">
        <v>12.382999999999999</v>
      </c>
      <c r="Y49" s="9">
        <v>49</v>
      </c>
      <c r="Z49" s="10">
        <v>42524.871388888889</v>
      </c>
      <c r="AA49" s="14">
        <f t="shared" si="6"/>
        <v>11437.980230802939</v>
      </c>
      <c r="AB49" s="11">
        <f t="shared" si="7"/>
        <v>217.19999999999891</v>
      </c>
      <c r="AC49" s="9">
        <v>217.19999999999899</v>
      </c>
      <c r="AD49" s="12">
        <v>118.843104999999</v>
      </c>
      <c r="AE49" s="13">
        <f t="shared" si="3"/>
        <v>0.46137167581804084</v>
      </c>
      <c r="AF49" s="13">
        <f t="shared" si="4"/>
        <v>0.4859071917639588</v>
      </c>
      <c r="AG49" s="15">
        <f t="shared" si="5"/>
        <v>0.43479186419976457</v>
      </c>
      <c r="AH49" s="11" t="s">
        <v>40</v>
      </c>
    </row>
    <row r="50" spans="1:34" ht="14.25">
      <c r="A50" s="9" t="s">
        <v>84</v>
      </c>
      <c r="B50" s="9" t="s">
        <v>34</v>
      </c>
      <c r="C50" s="9">
        <v>3.0430000000000001</v>
      </c>
      <c r="D50" s="9">
        <v>14.824</v>
      </c>
      <c r="E50" s="9">
        <v>50.110999999999997</v>
      </c>
      <c r="F50" s="9">
        <v>0.34100000000000003</v>
      </c>
      <c r="G50" s="9">
        <v>10.185</v>
      </c>
      <c r="H50" s="9">
        <v>0.14899999999999999</v>
      </c>
      <c r="I50" s="9">
        <v>8.0250000000000004</v>
      </c>
      <c r="J50" s="9">
        <v>7.7140000000000004</v>
      </c>
      <c r="K50" s="9">
        <v>1.4419999999999999</v>
      </c>
      <c r="L50" s="9">
        <v>3.9E-2</v>
      </c>
      <c r="M50" s="9">
        <v>1.4079999999999999</v>
      </c>
      <c r="Q50" s="9">
        <v>5.7000000000000002E-2</v>
      </c>
      <c r="R50" s="9">
        <v>97.337999999999994</v>
      </c>
      <c r="S50" s="9">
        <v>11306.3</v>
      </c>
      <c r="T50" s="9">
        <v>-998</v>
      </c>
      <c r="U50" s="9">
        <v>117</v>
      </c>
      <c r="V50" s="9" t="s">
        <v>34</v>
      </c>
      <c r="W50" s="9">
        <v>232.32</v>
      </c>
      <c r="X50" s="9">
        <v>12.375</v>
      </c>
      <c r="Y50" s="9">
        <v>50</v>
      </c>
      <c r="Z50" s="10">
        <v>42524.872986111113</v>
      </c>
      <c r="AA50" s="14">
        <f t="shared" si="6"/>
        <v>10423.738618103911</v>
      </c>
      <c r="AB50" s="11">
        <f t="shared" si="7"/>
        <v>222.19999999999891</v>
      </c>
      <c r="AC50" s="9">
        <v>222.19999999999899</v>
      </c>
      <c r="AD50" s="12">
        <v>118.843104999999</v>
      </c>
      <c r="AE50" s="13">
        <f t="shared" si="3"/>
        <v>0.51003916682872275</v>
      </c>
      <c r="AF50" s="13">
        <f t="shared" si="4"/>
        <v>0.52927769240377176</v>
      </c>
      <c r="AG50" s="15">
        <f t="shared" si="5"/>
        <v>0.48816610083449391</v>
      </c>
      <c r="AH50" s="11" t="s">
        <v>40</v>
      </c>
    </row>
    <row r="51" spans="1:34" ht="14.25">
      <c r="A51" s="9" t="s">
        <v>85</v>
      </c>
      <c r="B51" s="9" t="s">
        <v>34</v>
      </c>
      <c r="C51" s="9">
        <v>3.0459999999999998</v>
      </c>
      <c r="D51" s="9">
        <v>14.566000000000001</v>
      </c>
      <c r="E51" s="9">
        <v>50.246000000000002</v>
      </c>
      <c r="F51" s="9">
        <v>0.33200000000000002</v>
      </c>
      <c r="G51" s="9">
        <v>10.406000000000001</v>
      </c>
      <c r="H51" s="9">
        <v>0.16900000000000001</v>
      </c>
      <c r="I51" s="9">
        <v>7.9749999999999996</v>
      </c>
      <c r="J51" s="9">
        <v>7.7370000000000001</v>
      </c>
      <c r="K51" s="9">
        <v>1.4510000000000001</v>
      </c>
      <c r="L51" s="9">
        <v>6.3E-2</v>
      </c>
      <c r="M51" s="9">
        <v>1.46</v>
      </c>
      <c r="Q51" s="9">
        <v>0</v>
      </c>
      <c r="R51" s="9">
        <v>97.453000000000003</v>
      </c>
      <c r="S51" s="9">
        <v>11311.4</v>
      </c>
      <c r="T51" s="9">
        <v>-998</v>
      </c>
      <c r="U51" s="9">
        <v>117</v>
      </c>
      <c r="V51" s="9" t="s">
        <v>34</v>
      </c>
      <c r="W51" s="9">
        <v>237.37</v>
      </c>
      <c r="X51" s="9">
        <v>12.381</v>
      </c>
      <c r="Y51" s="9">
        <v>51</v>
      </c>
      <c r="Z51" s="10">
        <v>42524.874606481484</v>
      </c>
      <c r="AA51" s="14">
        <f t="shared" si="6"/>
        <v>10808.706237522521</v>
      </c>
      <c r="AB51" s="11">
        <f t="shared" si="7"/>
        <v>227.29999999999927</v>
      </c>
      <c r="AC51" s="9">
        <v>227.3</v>
      </c>
      <c r="AD51" s="12">
        <v>118.843104999999</v>
      </c>
      <c r="AE51" s="13">
        <f t="shared" si="3"/>
        <v>0.49156683447430327</v>
      </c>
      <c r="AF51" s="13">
        <f t="shared" si="4"/>
        <v>0.51305779887830805</v>
      </c>
      <c r="AG51" s="15">
        <f t="shared" si="5"/>
        <v>0.46759513066401598</v>
      </c>
      <c r="AH51" s="11" t="s">
        <v>40</v>
      </c>
    </row>
    <row r="52" spans="1:34" ht="14.25">
      <c r="A52" s="9" t="s">
        <v>86</v>
      </c>
      <c r="B52" s="9" t="s">
        <v>34</v>
      </c>
      <c r="C52" s="9">
        <v>2.9350000000000001</v>
      </c>
      <c r="D52" s="9">
        <v>14.855</v>
      </c>
      <c r="E52" s="9">
        <v>50.222999999999999</v>
      </c>
      <c r="F52" s="9">
        <v>0.309</v>
      </c>
      <c r="G52" s="9">
        <v>10.224</v>
      </c>
      <c r="H52" s="9">
        <v>0.13700000000000001</v>
      </c>
      <c r="I52" s="9">
        <v>8.0960000000000001</v>
      </c>
      <c r="J52" s="9">
        <v>7.7750000000000004</v>
      </c>
      <c r="K52" s="9">
        <v>1.4990000000000001</v>
      </c>
      <c r="L52" s="9">
        <v>0.04</v>
      </c>
      <c r="M52" s="9">
        <v>1.4039999999999999</v>
      </c>
      <c r="Q52" s="9">
        <v>4.5999999999999999E-2</v>
      </c>
      <c r="R52" s="9">
        <v>97.540999999999997</v>
      </c>
      <c r="S52" s="9">
        <v>11316.4</v>
      </c>
      <c r="T52" s="9">
        <v>-998</v>
      </c>
      <c r="U52" s="9">
        <v>117</v>
      </c>
      <c r="V52" s="9" t="s">
        <v>34</v>
      </c>
      <c r="W52" s="9">
        <v>242.42</v>
      </c>
      <c r="X52" s="9">
        <v>12.401</v>
      </c>
      <c r="Y52" s="9">
        <v>52</v>
      </c>
      <c r="Z52" s="10">
        <v>42524.876226851855</v>
      </c>
      <c r="AA52" s="14">
        <f t="shared" si="6"/>
        <v>10394.125724302479</v>
      </c>
      <c r="AB52" s="11">
        <f t="shared" si="7"/>
        <v>232.29999999999927</v>
      </c>
      <c r="AC52" s="9">
        <v>232.3</v>
      </c>
      <c r="AD52" s="12">
        <v>118.843104999999</v>
      </c>
      <c r="AE52" s="13">
        <f t="shared" si="3"/>
        <v>0.51146011547137027</v>
      </c>
      <c r="AF52" s="13">
        <f t="shared" si="4"/>
        <v>0.53051290323368661</v>
      </c>
      <c r="AG52" s="15">
        <f t="shared" si="5"/>
        <v>0.48976550335686464</v>
      </c>
      <c r="AH52" s="11" t="s">
        <v>40</v>
      </c>
    </row>
    <row r="53" spans="1:34" ht="14.25">
      <c r="A53" s="9" t="s">
        <v>87</v>
      </c>
      <c r="B53" s="9" t="s">
        <v>34</v>
      </c>
      <c r="C53" s="9">
        <v>3.0139999999999998</v>
      </c>
      <c r="D53" s="9">
        <v>14.712</v>
      </c>
      <c r="E53" s="9">
        <v>50.192</v>
      </c>
      <c r="F53" s="9">
        <v>0.28599999999999998</v>
      </c>
      <c r="G53" s="9">
        <v>10.09</v>
      </c>
      <c r="H53" s="9">
        <v>0.19900000000000001</v>
      </c>
      <c r="I53" s="9">
        <v>8.1690000000000005</v>
      </c>
      <c r="J53" s="9">
        <v>7.7160000000000002</v>
      </c>
      <c r="K53" s="9">
        <v>1.4490000000000001</v>
      </c>
      <c r="L53" s="9">
        <v>0.06</v>
      </c>
      <c r="M53" s="9">
        <v>1.4710000000000001</v>
      </c>
      <c r="Q53" s="9">
        <v>0</v>
      </c>
      <c r="R53" s="9">
        <v>97.356999999999999</v>
      </c>
      <c r="S53" s="9">
        <v>11321.5</v>
      </c>
      <c r="T53" s="9">
        <v>-998</v>
      </c>
      <c r="U53" s="9">
        <v>117</v>
      </c>
      <c r="V53" s="9" t="s">
        <v>34</v>
      </c>
      <c r="W53" s="9">
        <v>247.47</v>
      </c>
      <c r="X53" s="9">
        <v>12.375999999999999</v>
      </c>
      <c r="Y53" s="9">
        <v>53</v>
      </c>
      <c r="Z53" s="10">
        <v>42524.877835648149</v>
      </c>
      <c r="AA53" s="14">
        <f t="shared" si="6"/>
        <v>10890.141695476459</v>
      </c>
      <c r="AB53" s="11">
        <f t="shared" si="7"/>
        <v>237.39999999999964</v>
      </c>
      <c r="AC53" s="9">
        <v>237.4</v>
      </c>
      <c r="AD53" s="12">
        <v>118.843104999999</v>
      </c>
      <c r="AE53" s="13">
        <f t="shared" si="3"/>
        <v>0.48765922570702214</v>
      </c>
      <c r="AF53" s="13">
        <f t="shared" si="4"/>
        <v>0.50958838289782049</v>
      </c>
      <c r="AG53" s="15">
        <f t="shared" si="5"/>
        <v>0.4632944079242598</v>
      </c>
      <c r="AH53" s="11" t="s">
        <v>40</v>
      </c>
    </row>
    <row r="54" spans="1:34" ht="14.25">
      <c r="A54" s="9" t="s">
        <v>88</v>
      </c>
      <c r="B54" s="9" t="s">
        <v>34</v>
      </c>
      <c r="C54" s="9">
        <v>2.9980000000000002</v>
      </c>
      <c r="D54" s="9">
        <v>14.928000000000001</v>
      </c>
      <c r="E54" s="9">
        <v>50.439</v>
      </c>
      <c r="F54" s="9">
        <v>0.3</v>
      </c>
      <c r="G54" s="9">
        <v>10.148999999999999</v>
      </c>
      <c r="H54" s="9">
        <v>0.13200000000000001</v>
      </c>
      <c r="I54" s="9">
        <v>8.2080000000000002</v>
      </c>
      <c r="J54" s="9">
        <v>7.9269999999999996</v>
      </c>
      <c r="K54" s="9">
        <v>1.4390000000000001</v>
      </c>
      <c r="L54" s="9">
        <v>4.4999999999999998E-2</v>
      </c>
      <c r="M54" s="9">
        <v>1.4510000000000001</v>
      </c>
      <c r="Q54" s="9">
        <v>3.2000000000000001E-2</v>
      </c>
      <c r="R54" s="9">
        <v>98.05</v>
      </c>
      <c r="S54" s="9">
        <v>11326.5</v>
      </c>
      <c r="T54" s="9">
        <v>-998</v>
      </c>
      <c r="U54" s="9">
        <v>117</v>
      </c>
      <c r="V54" s="9" t="s">
        <v>34</v>
      </c>
      <c r="W54" s="9">
        <v>252.53</v>
      </c>
      <c r="X54" s="9">
        <v>12.462</v>
      </c>
      <c r="Y54" s="9">
        <v>54</v>
      </c>
      <c r="Z54" s="10">
        <v>42524.879421296297</v>
      </c>
      <c r="AA54" s="14">
        <f t="shared" si="6"/>
        <v>10742.077226469301</v>
      </c>
      <c r="AB54" s="11">
        <f t="shared" si="7"/>
        <v>242.39999999999964</v>
      </c>
      <c r="AC54" s="9">
        <v>242.4</v>
      </c>
      <c r="AD54" s="12">
        <v>118.843104999999</v>
      </c>
      <c r="AE54" s="13">
        <f t="shared" si="3"/>
        <v>0.49476396892026042</v>
      </c>
      <c r="AF54" s="13">
        <f t="shared" si="4"/>
        <v>0.51588651971900212</v>
      </c>
      <c r="AG54" s="15">
        <f t="shared" si="5"/>
        <v>0.47112680822012437</v>
      </c>
      <c r="AH54" s="11" t="s">
        <v>40</v>
      </c>
    </row>
    <row r="55" spans="1:34" ht="14.25">
      <c r="A55" s="9" t="s">
        <v>89</v>
      </c>
      <c r="B55" s="9" t="s">
        <v>34</v>
      </c>
      <c r="C55" s="9">
        <v>3.0459999999999998</v>
      </c>
      <c r="D55" s="9">
        <v>14.678000000000001</v>
      </c>
      <c r="E55" s="9">
        <v>50.488999999999997</v>
      </c>
      <c r="F55" s="9">
        <v>0.30099999999999999</v>
      </c>
      <c r="G55" s="9">
        <v>10.199</v>
      </c>
      <c r="H55" s="9">
        <v>0.158</v>
      </c>
      <c r="I55" s="9">
        <v>8.02</v>
      </c>
      <c r="J55" s="9">
        <v>7.8109999999999999</v>
      </c>
      <c r="K55" s="9">
        <v>1.4490000000000001</v>
      </c>
      <c r="L55" s="9">
        <v>5.3999999999999999E-2</v>
      </c>
      <c r="M55" s="9">
        <v>1.4079999999999999</v>
      </c>
      <c r="Q55" s="9">
        <v>0</v>
      </c>
      <c r="R55" s="9">
        <v>97.613</v>
      </c>
      <c r="S55" s="9">
        <v>11331.6</v>
      </c>
      <c r="T55" s="9">
        <v>-998</v>
      </c>
      <c r="U55" s="9">
        <v>117</v>
      </c>
      <c r="V55" s="9" t="s">
        <v>34</v>
      </c>
      <c r="W55" s="9">
        <v>257.58</v>
      </c>
      <c r="X55" s="9">
        <v>12.375999999999999</v>
      </c>
      <c r="Y55" s="9">
        <v>55</v>
      </c>
      <c r="Z55" s="10">
        <v>42524.881041666667</v>
      </c>
      <c r="AA55" s="14">
        <f t="shared" si="6"/>
        <v>10423.738618103911</v>
      </c>
      <c r="AB55" s="11">
        <f t="shared" si="7"/>
        <v>247.5</v>
      </c>
      <c r="AC55" s="9">
        <v>247.5</v>
      </c>
      <c r="AD55" s="12">
        <v>118.843104999999</v>
      </c>
      <c r="AE55" s="13">
        <f t="shared" si="3"/>
        <v>0.51003916682872275</v>
      </c>
      <c r="AF55" s="13">
        <f t="shared" si="4"/>
        <v>0.52927769240377176</v>
      </c>
      <c r="AG55" s="15">
        <f t="shared" si="5"/>
        <v>0.48816610083449391</v>
      </c>
      <c r="AH55" s="11" t="s">
        <v>40</v>
      </c>
    </row>
    <row r="56" spans="1:34" ht="14.25">
      <c r="A56" s="9" t="s">
        <v>90</v>
      </c>
      <c r="B56" s="9" t="s">
        <v>34</v>
      </c>
      <c r="C56" s="9">
        <v>3.01</v>
      </c>
      <c r="D56" s="9">
        <v>14.773</v>
      </c>
      <c r="E56" s="9">
        <v>50.49</v>
      </c>
      <c r="F56" s="9">
        <v>0.34399999999999997</v>
      </c>
      <c r="G56" s="9">
        <v>10.08</v>
      </c>
      <c r="H56" s="9">
        <v>0.114</v>
      </c>
      <c r="I56" s="9">
        <v>8.2040000000000006</v>
      </c>
      <c r="J56" s="9">
        <v>7.64</v>
      </c>
      <c r="K56" s="9">
        <v>1.4590000000000001</v>
      </c>
      <c r="L56" s="9">
        <v>5.2999999999999999E-2</v>
      </c>
      <c r="M56" s="9">
        <v>1.381</v>
      </c>
      <c r="Q56" s="9">
        <v>0</v>
      </c>
      <c r="R56" s="9">
        <v>97.549000000000007</v>
      </c>
      <c r="S56" s="9">
        <v>11336.6</v>
      </c>
      <c r="T56" s="9">
        <v>-998</v>
      </c>
      <c r="U56" s="9">
        <v>117</v>
      </c>
      <c r="V56" s="9" t="s">
        <v>34</v>
      </c>
      <c r="W56" s="9">
        <v>262.63</v>
      </c>
      <c r="X56" s="9">
        <v>12.375999999999999</v>
      </c>
      <c r="Y56" s="9">
        <v>56</v>
      </c>
      <c r="Z56" s="10">
        <v>42524.882638888892</v>
      </c>
      <c r="AA56" s="14">
        <f t="shared" si="6"/>
        <v>10223.851584944246</v>
      </c>
      <c r="AB56" s="11">
        <f t="shared" si="7"/>
        <v>252.5</v>
      </c>
      <c r="AC56" s="9">
        <v>252.5</v>
      </c>
      <c r="AD56" s="12">
        <v>118.843104999999</v>
      </c>
      <c r="AE56" s="13">
        <f t="shared" si="3"/>
        <v>0.51963057016659442</v>
      </c>
      <c r="AF56" s="13">
        <f t="shared" si="4"/>
        <v>0.53758047661063002</v>
      </c>
      <c r="AG56" s="15">
        <f t="shared" si="5"/>
        <v>0.49901127051644878</v>
      </c>
      <c r="AH56" s="11" t="s">
        <v>40</v>
      </c>
    </row>
    <row r="57" spans="1:34" ht="14.25">
      <c r="A57" s="9" t="s">
        <v>91</v>
      </c>
      <c r="B57" s="9" t="s">
        <v>34</v>
      </c>
      <c r="C57" s="9">
        <v>2.956</v>
      </c>
      <c r="D57" s="9">
        <v>14.978</v>
      </c>
      <c r="E57" s="9">
        <v>50.258000000000003</v>
      </c>
      <c r="F57" s="9">
        <v>0.30299999999999999</v>
      </c>
      <c r="G57" s="9">
        <v>10.055999999999999</v>
      </c>
      <c r="H57" s="9">
        <v>0.19800000000000001</v>
      </c>
      <c r="I57" s="9">
        <v>8.0259999999999998</v>
      </c>
      <c r="J57" s="9">
        <v>7.7539999999999996</v>
      </c>
      <c r="K57" s="9">
        <v>1.4590000000000001</v>
      </c>
      <c r="L57" s="9">
        <v>3.5999999999999997E-2</v>
      </c>
      <c r="M57" s="9">
        <v>1.3129999999999999</v>
      </c>
      <c r="Q57" s="9">
        <v>4.0000000000000001E-3</v>
      </c>
      <c r="R57" s="9">
        <v>97.34</v>
      </c>
      <c r="S57" s="9">
        <v>11341.7</v>
      </c>
      <c r="T57" s="9">
        <v>-998</v>
      </c>
      <c r="U57" s="9">
        <v>117</v>
      </c>
      <c r="V57" s="9" t="s">
        <v>34</v>
      </c>
      <c r="W57" s="9">
        <v>267.68</v>
      </c>
      <c r="X57" s="9">
        <v>12.324999999999999</v>
      </c>
      <c r="Y57" s="9">
        <v>57</v>
      </c>
      <c r="Z57" s="10">
        <v>42524.884247685186</v>
      </c>
      <c r="AA57" s="14">
        <f t="shared" si="6"/>
        <v>9720.4323903199092</v>
      </c>
      <c r="AB57" s="11">
        <f t="shared" si="7"/>
        <v>257.60000000000036</v>
      </c>
      <c r="AC57" s="9">
        <v>257.60000000000002</v>
      </c>
      <c r="AD57" s="12">
        <v>118.843104999999</v>
      </c>
      <c r="AE57" s="13">
        <f t="shared" si="3"/>
        <v>0.54378669709160443</v>
      </c>
      <c r="AF57" s="13">
        <f t="shared" si="4"/>
        <v>0.55812480856063529</v>
      </c>
      <c r="AG57" s="15">
        <f t="shared" si="5"/>
        <v>0.52686288361551581</v>
      </c>
      <c r="AH57" s="11" t="s">
        <v>40</v>
      </c>
    </row>
    <row r="58" spans="1:34" ht="14.25">
      <c r="A58" s="9" t="s">
        <v>92</v>
      </c>
      <c r="B58" s="9" t="s">
        <v>34</v>
      </c>
      <c r="C58" s="9">
        <v>3.0139999999999998</v>
      </c>
      <c r="D58" s="9">
        <v>14.943</v>
      </c>
      <c r="E58" s="9">
        <v>49.939</v>
      </c>
      <c r="F58" s="9">
        <v>0.35099999999999998</v>
      </c>
      <c r="G58" s="9">
        <v>10.202999999999999</v>
      </c>
      <c r="H58" s="9">
        <v>0.191</v>
      </c>
      <c r="I58" s="9">
        <v>8.1790000000000003</v>
      </c>
      <c r="J58" s="9">
        <v>7.7949999999999999</v>
      </c>
      <c r="K58" s="9">
        <v>1.444</v>
      </c>
      <c r="L58" s="9">
        <v>1.9E-2</v>
      </c>
      <c r="M58" s="9">
        <v>1.268</v>
      </c>
      <c r="Q58" s="9">
        <v>6.0000000000000001E-3</v>
      </c>
      <c r="R58" s="9">
        <v>97.352000000000004</v>
      </c>
      <c r="S58" s="9">
        <v>11346.7</v>
      </c>
      <c r="T58" s="9">
        <v>-998</v>
      </c>
      <c r="U58" s="9">
        <v>117</v>
      </c>
      <c r="V58" s="9" t="s">
        <v>34</v>
      </c>
      <c r="W58" s="9">
        <v>272.73</v>
      </c>
      <c r="X58" s="9">
        <v>12.343</v>
      </c>
      <c r="Y58" s="9">
        <v>58</v>
      </c>
      <c r="Z58" s="10">
        <v>42524.885844907411</v>
      </c>
      <c r="AA58" s="14">
        <f t="shared" si="6"/>
        <v>9387.2873350538048</v>
      </c>
      <c r="AB58" s="11">
        <f t="shared" si="7"/>
        <v>262.60000000000036</v>
      </c>
      <c r="AC58" s="9">
        <v>262.60000000000002</v>
      </c>
      <c r="AD58" s="12">
        <v>118.843104999999</v>
      </c>
      <c r="AE58" s="13">
        <f t="shared" si="3"/>
        <v>0.55977236932139041</v>
      </c>
      <c r="AF58" s="13">
        <f t="shared" si="4"/>
        <v>0.57142802830050821</v>
      </c>
      <c r="AG58" s="15">
        <f t="shared" si="5"/>
        <v>0.54575129386291277</v>
      </c>
      <c r="AH58" s="11" t="s">
        <v>40</v>
      </c>
    </row>
    <row r="59" spans="1:34" ht="14.25">
      <c r="A59" s="9" t="s">
        <v>93</v>
      </c>
      <c r="B59" s="9" t="s">
        <v>34</v>
      </c>
      <c r="C59" s="9">
        <v>3.0190000000000001</v>
      </c>
      <c r="D59" s="9">
        <v>14.791</v>
      </c>
      <c r="E59" s="9">
        <v>50.581000000000003</v>
      </c>
      <c r="F59" s="9">
        <v>0.28399999999999997</v>
      </c>
      <c r="G59" s="9">
        <v>10.185</v>
      </c>
      <c r="H59" s="9">
        <v>0.2</v>
      </c>
      <c r="I59" s="9">
        <v>8.26</v>
      </c>
      <c r="J59" s="9">
        <v>7.8239999999999998</v>
      </c>
      <c r="K59" s="9">
        <v>1.498</v>
      </c>
      <c r="L59" s="9">
        <v>4.4999999999999998E-2</v>
      </c>
      <c r="M59" s="9">
        <v>1.26</v>
      </c>
      <c r="Q59" s="9">
        <v>0</v>
      </c>
      <c r="R59" s="9">
        <v>97.947999999999993</v>
      </c>
      <c r="S59" s="9">
        <v>11351.8</v>
      </c>
      <c r="T59" s="9">
        <v>-998</v>
      </c>
      <c r="U59" s="9">
        <v>117</v>
      </c>
      <c r="V59" s="9" t="s">
        <v>34</v>
      </c>
      <c r="W59" s="9">
        <v>277.77999999999997</v>
      </c>
      <c r="X59" s="9">
        <v>12.413</v>
      </c>
      <c r="Y59" s="9">
        <v>59</v>
      </c>
      <c r="Z59" s="10">
        <v>42524.887430555558</v>
      </c>
      <c r="AA59" s="14">
        <f t="shared" si="6"/>
        <v>9328.0615474509414</v>
      </c>
      <c r="AB59" s="11">
        <f t="shared" si="7"/>
        <v>267.69999999999891</v>
      </c>
      <c r="AC59" s="9">
        <v>267.69999999999902</v>
      </c>
      <c r="AD59" s="12">
        <v>118.843104999999</v>
      </c>
      <c r="AE59" s="13">
        <f t="shared" si="3"/>
        <v>0.56261426660668579</v>
      </c>
      <c r="AF59" s="13">
        <f t="shared" si="4"/>
        <v>0.57376841444724092</v>
      </c>
      <c r="AG59" s="15">
        <f t="shared" si="5"/>
        <v>0.54914999126555608</v>
      </c>
      <c r="AH59" s="11" t="s">
        <v>40</v>
      </c>
    </row>
    <row r="60" spans="1:34" ht="14.25">
      <c r="A60" s="9" t="s">
        <v>94</v>
      </c>
      <c r="B60" s="9" t="s">
        <v>34</v>
      </c>
      <c r="C60" s="9">
        <v>2.9369999999999998</v>
      </c>
      <c r="D60" s="9">
        <v>15.048999999999999</v>
      </c>
      <c r="E60" s="9">
        <v>50.615000000000002</v>
      </c>
      <c r="F60" s="9">
        <v>0.32700000000000001</v>
      </c>
      <c r="G60" s="9">
        <v>10.015000000000001</v>
      </c>
      <c r="H60" s="9">
        <v>0.188</v>
      </c>
      <c r="I60" s="9">
        <v>8.2460000000000004</v>
      </c>
      <c r="J60" s="9">
        <v>7.7089999999999996</v>
      </c>
      <c r="K60" s="9">
        <v>1.3979999999999999</v>
      </c>
      <c r="L60" s="9">
        <v>0.03</v>
      </c>
      <c r="M60" s="9">
        <v>1.252</v>
      </c>
      <c r="Q60" s="9">
        <v>5.8999999999999997E-2</v>
      </c>
      <c r="R60" s="9">
        <v>97.823999999999998</v>
      </c>
      <c r="S60" s="9">
        <v>11356.8</v>
      </c>
      <c r="T60" s="9">
        <v>-998</v>
      </c>
      <c r="U60" s="9">
        <v>117</v>
      </c>
      <c r="V60" s="9" t="s">
        <v>34</v>
      </c>
      <c r="W60" s="9">
        <v>282.83</v>
      </c>
      <c r="X60" s="9">
        <v>12.411</v>
      </c>
      <c r="Y60" s="9">
        <v>60</v>
      </c>
      <c r="Z60" s="10">
        <v>42524.889027777775</v>
      </c>
      <c r="AA60" s="14">
        <f t="shared" si="6"/>
        <v>9268.8357598480779</v>
      </c>
      <c r="AB60" s="11">
        <f t="shared" si="7"/>
        <v>272.69999999999891</v>
      </c>
      <c r="AC60" s="9">
        <v>272.69999999999902</v>
      </c>
      <c r="AD60" s="12">
        <v>118.843104999999</v>
      </c>
      <c r="AE60" s="13">
        <f t="shared" si="3"/>
        <v>0.56545616389198106</v>
      </c>
      <c r="AF60" s="13">
        <f t="shared" si="4"/>
        <v>0.57610132850828433</v>
      </c>
      <c r="AG60" s="15">
        <f t="shared" si="5"/>
        <v>0.55256142291240595</v>
      </c>
      <c r="AH60" s="11" t="s">
        <v>40</v>
      </c>
    </row>
    <row r="61" spans="1:34" ht="14.25">
      <c r="A61" s="9" t="s">
        <v>95</v>
      </c>
      <c r="B61" s="9" t="s">
        <v>34</v>
      </c>
      <c r="C61" s="9">
        <v>3.0270000000000001</v>
      </c>
      <c r="D61" s="9">
        <v>14.840999999999999</v>
      </c>
      <c r="E61" s="9">
        <v>50.353999999999999</v>
      </c>
      <c r="F61" s="9">
        <v>0.36699999999999999</v>
      </c>
      <c r="G61" s="9">
        <v>10.195</v>
      </c>
      <c r="H61" s="9">
        <v>0.16700000000000001</v>
      </c>
      <c r="I61" s="9">
        <v>8.1489999999999991</v>
      </c>
      <c r="J61" s="9">
        <v>7.7569999999999997</v>
      </c>
      <c r="K61" s="9">
        <v>1.5229999999999999</v>
      </c>
      <c r="L61" s="9">
        <v>4.5999999999999999E-2</v>
      </c>
      <c r="M61" s="9">
        <v>1.117</v>
      </c>
      <c r="Q61" s="9">
        <v>0</v>
      </c>
      <c r="R61" s="9">
        <v>97.543999999999997</v>
      </c>
      <c r="S61" s="9">
        <v>11361.9</v>
      </c>
      <c r="T61" s="9">
        <v>-998</v>
      </c>
      <c r="U61" s="9">
        <v>117</v>
      </c>
      <c r="V61" s="9" t="s">
        <v>34</v>
      </c>
      <c r="W61" s="9">
        <v>287.88</v>
      </c>
      <c r="X61" s="9">
        <v>12.33</v>
      </c>
      <c r="Y61" s="9">
        <v>61</v>
      </c>
      <c r="Z61" s="10">
        <v>42524.890636574077</v>
      </c>
      <c r="AA61" s="14">
        <f t="shared" si="6"/>
        <v>8269.4005940497645</v>
      </c>
      <c r="AB61" s="11">
        <f t="shared" si="7"/>
        <v>277.79999999999927</v>
      </c>
      <c r="AC61" s="9">
        <v>277.8</v>
      </c>
      <c r="AD61" s="12">
        <v>118.843104999999</v>
      </c>
      <c r="AE61" s="13">
        <f t="shared" si="3"/>
        <v>0.61341318058133909</v>
      </c>
      <c r="AF61" s="13">
        <f t="shared" si="4"/>
        <v>0.61433037625455711</v>
      </c>
      <c r="AG61" s="15">
        <f t="shared" si="5"/>
        <v>0.6122298493302073</v>
      </c>
      <c r="AH61" s="11" t="s">
        <v>40</v>
      </c>
    </row>
    <row r="62" spans="1:34" ht="14.25">
      <c r="A62" s="9" t="s">
        <v>96</v>
      </c>
      <c r="B62" s="9" t="s">
        <v>34</v>
      </c>
      <c r="C62" s="9">
        <v>2.9380000000000002</v>
      </c>
      <c r="D62" s="9">
        <v>14.773</v>
      </c>
      <c r="E62" s="9">
        <v>50.569000000000003</v>
      </c>
      <c r="F62" s="9">
        <v>0.35</v>
      </c>
      <c r="G62" s="9">
        <v>10.179</v>
      </c>
      <c r="H62" s="9">
        <v>0.14599999999999999</v>
      </c>
      <c r="I62" s="9">
        <v>8.1489999999999991</v>
      </c>
      <c r="J62" s="9">
        <v>7.8789999999999996</v>
      </c>
      <c r="K62" s="9">
        <v>1.413</v>
      </c>
      <c r="L62" s="9">
        <v>3.9E-2</v>
      </c>
      <c r="M62" s="9">
        <v>1.169</v>
      </c>
      <c r="Q62" s="9">
        <v>0</v>
      </c>
      <c r="R62" s="9">
        <v>97.605000000000004</v>
      </c>
      <c r="S62" s="9">
        <v>11366.9</v>
      </c>
      <c r="T62" s="9">
        <v>-998</v>
      </c>
      <c r="U62" s="9">
        <v>117</v>
      </c>
      <c r="V62" s="9" t="s">
        <v>34</v>
      </c>
      <c r="W62" s="9">
        <v>292.93</v>
      </c>
      <c r="X62" s="9">
        <v>12.337</v>
      </c>
      <c r="Y62" s="9">
        <v>62</v>
      </c>
      <c r="Z62" s="10">
        <v>42524.892245370371</v>
      </c>
      <c r="AA62" s="14">
        <f t="shared" si="6"/>
        <v>8654.368213468375</v>
      </c>
      <c r="AB62" s="11">
        <f t="shared" si="7"/>
        <v>282.79999999999927</v>
      </c>
      <c r="AC62" s="9">
        <v>282.8</v>
      </c>
      <c r="AD62" s="12">
        <v>118.843104999999</v>
      </c>
      <c r="AE62" s="13">
        <f t="shared" si="3"/>
        <v>0.59494084822691962</v>
      </c>
      <c r="AF62" s="13">
        <f t="shared" si="4"/>
        <v>0.59986122677127196</v>
      </c>
      <c r="AG62" s="15">
        <f t="shared" si="5"/>
        <v>0.58875115284489676</v>
      </c>
      <c r="AH62" s="11" t="s">
        <v>40</v>
      </c>
    </row>
    <row r="63" spans="1:34" ht="14.25">
      <c r="A63" s="9" t="s">
        <v>97</v>
      </c>
      <c r="B63" s="9" t="s">
        <v>34</v>
      </c>
      <c r="C63" s="9">
        <v>2.984</v>
      </c>
      <c r="D63" s="9">
        <v>14.847</v>
      </c>
      <c r="E63" s="9">
        <v>50.305999999999997</v>
      </c>
      <c r="F63" s="9">
        <v>0.32500000000000001</v>
      </c>
      <c r="G63" s="9">
        <v>10.077999999999999</v>
      </c>
      <c r="H63" s="9">
        <v>0.16200000000000001</v>
      </c>
      <c r="I63" s="9">
        <v>8.1029999999999998</v>
      </c>
      <c r="J63" s="9">
        <v>7.83</v>
      </c>
      <c r="K63" s="9">
        <v>1.4610000000000001</v>
      </c>
      <c r="L63" s="9">
        <v>0.03</v>
      </c>
      <c r="M63" s="9">
        <v>1.2070000000000001</v>
      </c>
      <c r="Q63" s="9">
        <v>2.7E-2</v>
      </c>
      <c r="R63" s="9">
        <v>97.358999999999995</v>
      </c>
      <c r="S63" s="9">
        <v>11372</v>
      </c>
      <c r="T63" s="9">
        <v>-998</v>
      </c>
      <c r="U63" s="9">
        <v>117</v>
      </c>
      <c r="V63" s="9" t="s">
        <v>34</v>
      </c>
      <c r="W63" s="9">
        <v>297.98</v>
      </c>
      <c r="X63" s="9">
        <v>12.323</v>
      </c>
      <c r="Y63" s="9">
        <v>63</v>
      </c>
      <c r="Z63" s="10">
        <v>42524.893877314818</v>
      </c>
      <c r="AA63" s="14">
        <f t="shared" si="6"/>
        <v>8935.6907045819753</v>
      </c>
      <c r="AB63" s="11">
        <f t="shared" si="7"/>
        <v>287.89999999999964</v>
      </c>
      <c r="AC63" s="9">
        <v>287.89999999999901</v>
      </c>
      <c r="AD63" s="12">
        <v>118.843104999999</v>
      </c>
      <c r="AE63" s="13">
        <f t="shared" si="3"/>
        <v>0.58144183612176703</v>
      </c>
      <c r="AF63" s="13">
        <f t="shared" si="4"/>
        <v>0.58908411063424926</v>
      </c>
      <c r="AG63" s="15">
        <f t="shared" si="5"/>
        <v>0.57199650533091961</v>
      </c>
      <c r="AH63" s="11" t="s">
        <v>40</v>
      </c>
    </row>
    <row r="64" spans="1:34" ht="14.25">
      <c r="A64" s="9" t="s">
        <v>98</v>
      </c>
      <c r="B64" s="9" t="s">
        <v>34</v>
      </c>
      <c r="C64" s="9">
        <v>2.944</v>
      </c>
      <c r="D64" s="9">
        <v>14.941000000000001</v>
      </c>
      <c r="E64" s="9">
        <v>50.523000000000003</v>
      </c>
      <c r="F64" s="9">
        <v>0.316</v>
      </c>
      <c r="G64" s="9">
        <v>10.029</v>
      </c>
      <c r="H64" s="9">
        <v>0.219</v>
      </c>
      <c r="I64" s="9">
        <v>8.3059999999999992</v>
      </c>
      <c r="J64" s="9">
        <v>7.82</v>
      </c>
      <c r="K64" s="9">
        <v>1.462</v>
      </c>
      <c r="L64" s="9">
        <v>5.1999999999999998E-2</v>
      </c>
      <c r="M64" s="9">
        <v>1.1519999999999999</v>
      </c>
      <c r="Q64" s="9">
        <v>0</v>
      </c>
      <c r="R64" s="9">
        <v>97.762</v>
      </c>
      <c r="S64" s="9">
        <v>11377</v>
      </c>
      <c r="T64" s="9">
        <v>-998</v>
      </c>
      <c r="U64" s="9">
        <v>117</v>
      </c>
      <c r="V64" s="9" t="s">
        <v>34</v>
      </c>
      <c r="W64" s="9">
        <v>303.02999999999997</v>
      </c>
      <c r="X64" s="9">
        <v>12.369</v>
      </c>
      <c r="Y64" s="9">
        <v>64</v>
      </c>
      <c r="Z64" s="10">
        <v>42524.895474537036</v>
      </c>
      <c r="AA64" s="14">
        <f t="shared" si="6"/>
        <v>8528.5134148122888</v>
      </c>
      <c r="AB64" s="11">
        <f t="shared" si="7"/>
        <v>292.89999999999964</v>
      </c>
      <c r="AC64" s="9">
        <v>292.89999999999901</v>
      </c>
      <c r="AD64" s="12">
        <v>118.843104999999</v>
      </c>
      <c r="AE64" s="13">
        <f t="shared" si="3"/>
        <v>0.60097987995817226</v>
      </c>
      <c r="AF64" s="13">
        <f t="shared" si="4"/>
        <v>0.60462704130987399</v>
      </c>
      <c r="AG64" s="15">
        <f t="shared" si="5"/>
        <v>0.59635444785844005</v>
      </c>
      <c r="AH64" s="11" t="s">
        <v>40</v>
      </c>
    </row>
    <row r="65" spans="1:34" ht="14.25">
      <c r="A65" s="9" t="s">
        <v>99</v>
      </c>
      <c r="B65" s="9" t="s">
        <v>34</v>
      </c>
      <c r="C65" s="9">
        <v>2.891</v>
      </c>
      <c r="D65" s="9">
        <v>14.835000000000001</v>
      </c>
      <c r="E65" s="9">
        <v>50.453000000000003</v>
      </c>
      <c r="F65" s="9">
        <v>0.318</v>
      </c>
      <c r="G65" s="9">
        <v>10.151999999999999</v>
      </c>
      <c r="H65" s="9">
        <v>7.1999999999999995E-2</v>
      </c>
      <c r="I65" s="9">
        <v>8.2080000000000002</v>
      </c>
      <c r="J65" s="9">
        <v>7.9509999999999996</v>
      </c>
      <c r="K65" s="9">
        <v>1.4730000000000001</v>
      </c>
      <c r="L65" s="9">
        <v>1.9E-2</v>
      </c>
      <c r="M65" s="9">
        <v>1.0940000000000001</v>
      </c>
      <c r="Q65" s="9">
        <v>0</v>
      </c>
      <c r="R65" s="9">
        <v>97.466999999999999</v>
      </c>
      <c r="S65" s="9">
        <v>11382.1</v>
      </c>
      <c r="T65" s="9">
        <v>-998</v>
      </c>
      <c r="U65" s="9">
        <v>117</v>
      </c>
      <c r="V65" s="9" t="s">
        <v>34</v>
      </c>
      <c r="W65" s="9">
        <v>308.08</v>
      </c>
      <c r="X65" s="9">
        <v>12.304</v>
      </c>
      <c r="Y65" s="9">
        <v>65</v>
      </c>
      <c r="Z65" s="10">
        <v>42524.897106481483</v>
      </c>
      <c r="AA65" s="14">
        <f t="shared" si="6"/>
        <v>8099.1264546915318</v>
      </c>
      <c r="AB65" s="11">
        <f t="shared" si="7"/>
        <v>298</v>
      </c>
      <c r="AC65" s="9">
        <v>298</v>
      </c>
      <c r="AD65" s="12">
        <v>118.843104999999</v>
      </c>
      <c r="AE65" s="13">
        <f t="shared" si="3"/>
        <v>0.62158363527656313</v>
      </c>
      <c r="AF65" s="13">
        <f t="shared" si="4"/>
        <v>0.62062692203862146</v>
      </c>
      <c r="AG65" s="15">
        <f t="shared" si="5"/>
        <v>0.62283234274860633</v>
      </c>
      <c r="AH65" s="11" t="s">
        <v>40</v>
      </c>
    </row>
    <row r="66" spans="1:34" ht="14.25">
      <c r="A66" s="9" t="s">
        <v>100</v>
      </c>
      <c r="B66" s="9" t="s">
        <v>34</v>
      </c>
      <c r="C66" s="9">
        <v>3.09</v>
      </c>
      <c r="D66" s="9">
        <v>14.958</v>
      </c>
      <c r="E66" s="9">
        <v>50.392000000000003</v>
      </c>
      <c r="F66" s="9">
        <v>0.33400000000000002</v>
      </c>
      <c r="G66" s="9">
        <v>10.125999999999999</v>
      </c>
      <c r="H66" s="9">
        <v>0.20599999999999999</v>
      </c>
      <c r="I66" s="9">
        <v>8.1389999999999993</v>
      </c>
      <c r="J66" s="9">
        <v>7.944</v>
      </c>
      <c r="K66" s="9">
        <v>1.462</v>
      </c>
      <c r="L66" s="9">
        <v>3.5999999999999997E-2</v>
      </c>
      <c r="M66" s="9">
        <v>1.0860000000000001</v>
      </c>
      <c r="Q66" s="9">
        <v>0</v>
      </c>
      <c r="R66" s="9">
        <v>97.772000000000006</v>
      </c>
      <c r="S66" s="9">
        <v>11387.1</v>
      </c>
      <c r="T66" s="9">
        <v>-998</v>
      </c>
      <c r="U66" s="9">
        <v>117</v>
      </c>
      <c r="V66" s="9" t="s">
        <v>34</v>
      </c>
      <c r="W66" s="9">
        <v>313.13</v>
      </c>
      <c r="X66" s="9">
        <v>12.34</v>
      </c>
      <c r="Y66" s="9">
        <v>66</v>
      </c>
      <c r="Z66" s="10">
        <v>42524.898692129631</v>
      </c>
      <c r="AA66" s="14">
        <f t="shared" si="6"/>
        <v>8039.9006670886693</v>
      </c>
      <c r="AB66" s="11">
        <f t="shared" si="7"/>
        <v>303</v>
      </c>
      <c r="AC66" s="9">
        <v>303</v>
      </c>
      <c r="AD66" s="12">
        <v>94</v>
      </c>
      <c r="AE66" s="13">
        <f t="shared" si="3"/>
        <v>0.62323345803629504</v>
      </c>
      <c r="AF66" s="13">
        <f t="shared" si="4"/>
        <v>0.62189063938380074</v>
      </c>
      <c r="AG66" s="15">
        <f t="shared" si="5"/>
        <v>0.62499027621281167</v>
      </c>
      <c r="AH66" s="11" t="s">
        <v>40</v>
      </c>
    </row>
    <row r="67" spans="1:34" ht="14.25">
      <c r="A67" s="9" t="s">
        <v>101</v>
      </c>
      <c r="B67" s="9" t="s">
        <v>34</v>
      </c>
      <c r="C67" s="9">
        <v>2.9670000000000001</v>
      </c>
      <c r="D67" s="9">
        <v>14.912000000000001</v>
      </c>
      <c r="E67" s="9">
        <v>50.4</v>
      </c>
      <c r="F67" s="9">
        <v>0.33500000000000002</v>
      </c>
      <c r="G67" s="9">
        <v>10.263</v>
      </c>
      <c r="H67" s="9">
        <v>0.16600000000000001</v>
      </c>
      <c r="I67" s="9">
        <v>8.1519999999999992</v>
      </c>
      <c r="J67" s="9">
        <v>7.7409999999999997</v>
      </c>
      <c r="K67" s="9">
        <v>1.4390000000000001</v>
      </c>
      <c r="L67" s="9">
        <v>2.9000000000000001E-2</v>
      </c>
      <c r="M67" s="9">
        <v>1.0249999999999999</v>
      </c>
      <c r="Q67" s="9">
        <v>3.7999999999999999E-2</v>
      </c>
      <c r="R67" s="9">
        <v>97.465999999999994</v>
      </c>
      <c r="S67" s="9">
        <v>11392.2</v>
      </c>
      <c r="T67" s="9">
        <v>-998</v>
      </c>
      <c r="U67" s="9">
        <v>117</v>
      </c>
      <c r="V67" s="9" t="s">
        <v>34</v>
      </c>
      <c r="W67" s="9">
        <v>318.18</v>
      </c>
      <c r="X67" s="9">
        <v>12.319000000000001</v>
      </c>
      <c r="Y67" s="9">
        <v>67</v>
      </c>
      <c r="Z67" s="10">
        <v>42524.900289351855</v>
      </c>
      <c r="AA67" s="14">
        <f t="shared" si="6"/>
        <v>7588.3040366168379</v>
      </c>
      <c r="AB67" s="11">
        <f t="shared" si="7"/>
        <v>308.10000000000036</v>
      </c>
      <c r="AC67" s="9">
        <v>308.10000000000002</v>
      </c>
      <c r="AD67" s="12">
        <v>94</v>
      </c>
      <c r="AE67" s="13">
        <f t="shared" si="3"/>
        <v>0.64490292483667155</v>
      </c>
      <c r="AF67" s="13">
        <f t="shared" si="4"/>
        <v>0.63824731828209225</v>
      </c>
      <c r="AG67" s="15">
        <f t="shared" si="5"/>
        <v>0.65389548634053318</v>
      </c>
      <c r="AH67" s="11" t="s">
        <v>40</v>
      </c>
    </row>
    <row r="68" spans="1:34" ht="14.25">
      <c r="A68" s="9" t="s">
        <v>102</v>
      </c>
      <c r="B68" s="9" t="s">
        <v>34</v>
      </c>
      <c r="C68" s="9">
        <v>2.952</v>
      </c>
      <c r="D68" s="9">
        <v>14.718</v>
      </c>
      <c r="E68" s="9">
        <v>50.494999999999997</v>
      </c>
      <c r="F68" s="9">
        <v>0.30499999999999999</v>
      </c>
      <c r="G68" s="9">
        <v>10.058999999999999</v>
      </c>
      <c r="H68" s="9">
        <v>0.157</v>
      </c>
      <c r="I68" s="9">
        <v>8.26</v>
      </c>
      <c r="J68" s="9">
        <v>7.8</v>
      </c>
      <c r="K68" s="9">
        <v>1.496</v>
      </c>
      <c r="L68" s="9">
        <v>5.0999999999999997E-2</v>
      </c>
      <c r="M68" s="9">
        <v>0.96899999999999997</v>
      </c>
      <c r="Q68" s="9">
        <v>0</v>
      </c>
      <c r="R68" s="9">
        <v>97.263000000000005</v>
      </c>
      <c r="S68" s="9">
        <v>11397.2</v>
      </c>
      <c r="T68" s="9">
        <v>-998</v>
      </c>
      <c r="U68" s="9">
        <v>117</v>
      </c>
      <c r="V68" s="9" t="s">
        <v>34</v>
      </c>
      <c r="W68" s="9">
        <v>323.23</v>
      </c>
      <c r="X68" s="9">
        <v>12.268000000000001</v>
      </c>
      <c r="Y68" s="9">
        <v>68</v>
      </c>
      <c r="Z68" s="10">
        <v>42524.901886574073</v>
      </c>
      <c r="AA68" s="14">
        <f t="shared" ref="AA68:AA99" si="8">M68/(91.224+15.999*2)*91.224*10000</f>
        <v>7173.7235233967958</v>
      </c>
      <c r="AB68" s="11">
        <f t="shared" si="7"/>
        <v>313.10000000000036</v>
      </c>
      <c r="AC68" s="9">
        <v>313.10000000000002</v>
      </c>
      <c r="AD68" s="12">
        <v>94</v>
      </c>
      <c r="AE68" s="13">
        <f t="shared" si="3"/>
        <v>0.66479620583373866</v>
      </c>
      <c r="AF68" s="13">
        <f t="shared" si="4"/>
        <v>0.65286645823764455</v>
      </c>
      <c r="AG68" s="15">
        <f t="shared" si="5"/>
        <v>0.6814283150944489</v>
      </c>
      <c r="AH68" s="11" t="s">
        <v>40</v>
      </c>
    </row>
    <row r="69" spans="1:34" ht="14.25">
      <c r="A69" s="9" t="s">
        <v>103</v>
      </c>
      <c r="B69" s="9" t="s">
        <v>34</v>
      </c>
      <c r="C69" s="9">
        <v>2.9590000000000001</v>
      </c>
      <c r="D69" s="9">
        <v>15.023</v>
      </c>
      <c r="E69" s="9">
        <v>50.558999999999997</v>
      </c>
      <c r="F69" s="9">
        <v>0.29099999999999998</v>
      </c>
      <c r="G69" s="9">
        <v>10.304</v>
      </c>
      <c r="H69" s="9">
        <v>0.17100000000000001</v>
      </c>
      <c r="I69" s="9">
        <v>8.1790000000000003</v>
      </c>
      <c r="J69" s="9">
        <v>7.718</v>
      </c>
      <c r="K69" s="9">
        <v>1.444</v>
      </c>
      <c r="L69" s="9">
        <v>4.5999999999999999E-2</v>
      </c>
      <c r="M69" s="9">
        <v>1.046</v>
      </c>
      <c r="Q69" s="9">
        <v>0</v>
      </c>
      <c r="R69" s="9">
        <v>97.738</v>
      </c>
      <c r="S69" s="9">
        <v>11402.3</v>
      </c>
      <c r="T69" s="9">
        <v>-998</v>
      </c>
      <c r="U69" s="9">
        <v>117</v>
      </c>
      <c r="V69" s="9" t="s">
        <v>34</v>
      </c>
      <c r="W69" s="9">
        <v>328.28</v>
      </c>
      <c r="X69" s="9">
        <v>12.337</v>
      </c>
      <c r="Y69" s="9">
        <v>69</v>
      </c>
      <c r="Z69" s="10">
        <v>42524.903495370374</v>
      </c>
      <c r="AA69" s="14">
        <f t="shared" si="8"/>
        <v>7743.7717290743549</v>
      </c>
      <c r="AB69" s="11">
        <f t="shared" si="7"/>
        <v>318.19999999999891</v>
      </c>
      <c r="AC69" s="9">
        <v>318.19999999999902</v>
      </c>
      <c r="AD69" s="12">
        <v>94</v>
      </c>
      <c r="AE69" s="13">
        <f t="shared" si="3"/>
        <v>0.63744294446277139</v>
      </c>
      <c r="AF69" s="13">
        <f t="shared" si="4"/>
        <v>0.63266708007834505</v>
      </c>
      <c r="AG69" s="15">
        <f t="shared" si="5"/>
        <v>0.64382317395456412</v>
      </c>
      <c r="AH69" s="11" t="s">
        <v>40</v>
      </c>
    </row>
    <row r="70" spans="1:34" ht="14.25">
      <c r="A70" s="9" t="s">
        <v>104</v>
      </c>
      <c r="B70" s="9" t="s">
        <v>34</v>
      </c>
      <c r="C70" s="9">
        <v>2.9780000000000002</v>
      </c>
      <c r="D70" s="9">
        <v>15.021000000000001</v>
      </c>
      <c r="E70" s="9">
        <v>50.597000000000001</v>
      </c>
      <c r="F70" s="9">
        <v>0.32500000000000001</v>
      </c>
      <c r="G70" s="9">
        <v>10.313000000000001</v>
      </c>
      <c r="H70" s="9">
        <v>0.17</v>
      </c>
      <c r="I70" s="9">
        <v>8.0969999999999995</v>
      </c>
      <c r="J70" s="9">
        <v>7.8109999999999999</v>
      </c>
      <c r="K70" s="9">
        <v>1.454</v>
      </c>
      <c r="L70" s="9">
        <v>1.9E-2</v>
      </c>
      <c r="M70" s="9">
        <v>0.98099999999999998</v>
      </c>
      <c r="Q70" s="9">
        <v>0</v>
      </c>
      <c r="R70" s="9">
        <v>97.765000000000001</v>
      </c>
      <c r="S70" s="9">
        <v>11407.3</v>
      </c>
      <c r="T70" s="9">
        <v>-998</v>
      </c>
      <c r="U70" s="9">
        <v>117</v>
      </c>
      <c r="V70" s="9" t="s">
        <v>34</v>
      </c>
      <c r="W70" s="9">
        <v>333.33</v>
      </c>
      <c r="X70" s="9">
        <v>12.318</v>
      </c>
      <c r="Y70" s="9">
        <v>70</v>
      </c>
      <c r="Z70" s="10">
        <v>42524.905115740738</v>
      </c>
      <c r="AA70" s="14">
        <f t="shared" si="8"/>
        <v>7262.56220480109</v>
      </c>
      <c r="AB70" s="11">
        <f t="shared" si="7"/>
        <v>323.19999999999891</v>
      </c>
      <c r="AC70" s="9">
        <v>323.19999999999902</v>
      </c>
      <c r="AD70" s="12">
        <v>94</v>
      </c>
      <c r="AE70" s="13">
        <f t="shared" si="3"/>
        <v>0.66053335990579576</v>
      </c>
      <c r="AF70" s="13">
        <f t="shared" si="4"/>
        <v>0.64976586197978514</v>
      </c>
      <c r="AG70" s="15">
        <f>SQRT(GAMMAINV(AE70,0.5,1))</f>
        <v>0.67544227895169295</v>
      </c>
      <c r="AH70" s="11" t="s">
        <v>40</v>
      </c>
    </row>
    <row r="71" spans="1:34" ht="14.25">
      <c r="A71" s="9" t="s">
        <v>105</v>
      </c>
      <c r="B71" s="9" t="s">
        <v>34</v>
      </c>
      <c r="C71" s="9">
        <v>3.1259999999999999</v>
      </c>
      <c r="D71" s="9">
        <v>14.836</v>
      </c>
      <c r="E71" s="9">
        <v>50.396999999999998</v>
      </c>
      <c r="F71" s="9">
        <v>0.32600000000000001</v>
      </c>
      <c r="G71" s="9">
        <v>10.113</v>
      </c>
      <c r="H71" s="9">
        <v>0.154</v>
      </c>
      <c r="I71" s="9">
        <v>8.0779999999999994</v>
      </c>
      <c r="J71" s="9">
        <v>7.8979999999999997</v>
      </c>
      <c r="K71" s="9">
        <v>1.4770000000000001</v>
      </c>
      <c r="L71" s="9">
        <v>4.1000000000000002E-2</v>
      </c>
      <c r="M71" s="9">
        <v>0.92900000000000005</v>
      </c>
      <c r="Q71" s="9">
        <v>0</v>
      </c>
      <c r="R71" s="9">
        <v>97.375</v>
      </c>
      <c r="S71" s="9">
        <v>11412.4</v>
      </c>
      <c r="T71" s="9">
        <v>-998</v>
      </c>
      <c r="U71" s="9">
        <v>117</v>
      </c>
      <c r="V71" s="9" t="s">
        <v>34</v>
      </c>
      <c r="W71" s="9">
        <v>338.38</v>
      </c>
      <c r="X71" s="9">
        <v>12.252000000000001</v>
      </c>
      <c r="Y71" s="9">
        <v>71</v>
      </c>
      <c r="Z71" s="10">
        <v>42524.906724537039</v>
      </c>
      <c r="AA71" s="14">
        <f t="shared" si="8"/>
        <v>6877.5945853824805</v>
      </c>
      <c r="AB71" s="11">
        <f t="shared" ref="AB71:AB102" si="9">S71-S$6</f>
        <v>328.29999999999927</v>
      </c>
      <c r="AC71" s="9">
        <v>328.3</v>
      </c>
      <c r="AD71" s="12">
        <v>94</v>
      </c>
      <c r="AE71" s="13">
        <f t="shared" si="3"/>
        <v>0.67900569226021523</v>
      </c>
      <c r="AF71" s="13">
        <f t="shared" si="4"/>
        <v>0.66307515027743591</v>
      </c>
      <c r="AG71" s="15">
        <f t="shared" ref="AG71:AG126" si="10">SQRT(GAMMAINV(AE71,0.5,1))</f>
        <v>0.70174456101041716</v>
      </c>
      <c r="AH71" s="11" t="s">
        <v>40</v>
      </c>
    </row>
    <row r="72" spans="1:34" ht="14.25">
      <c r="A72" s="9" t="s">
        <v>106</v>
      </c>
      <c r="B72" s="9" t="s">
        <v>34</v>
      </c>
      <c r="C72" s="9">
        <v>3.0259999999999998</v>
      </c>
      <c r="D72" s="9">
        <v>14.805999999999999</v>
      </c>
      <c r="E72" s="9">
        <v>50.701999999999998</v>
      </c>
      <c r="F72" s="9">
        <v>0.29399999999999998</v>
      </c>
      <c r="G72" s="9">
        <v>10.218999999999999</v>
      </c>
      <c r="H72" s="9">
        <v>0.113</v>
      </c>
      <c r="I72" s="9">
        <v>8.1059999999999999</v>
      </c>
      <c r="J72" s="9">
        <v>7.9169999999999998</v>
      </c>
      <c r="K72" s="9">
        <v>1.454</v>
      </c>
      <c r="L72" s="9">
        <v>4.9000000000000002E-2</v>
      </c>
      <c r="M72" s="9">
        <v>0.98299999999999998</v>
      </c>
      <c r="Q72" s="9">
        <v>0</v>
      </c>
      <c r="R72" s="9">
        <v>97.668999999999997</v>
      </c>
      <c r="S72" s="9">
        <v>11417.4</v>
      </c>
      <c r="T72" s="9">
        <v>-998</v>
      </c>
      <c r="U72" s="9">
        <v>117</v>
      </c>
      <c r="V72" s="9" t="s">
        <v>34</v>
      </c>
      <c r="W72" s="9">
        <v>343.43</v>
      </c>
      <c r="X72" s="9">
        <v>12.298</v>
      </c>
      <c r="Y72" s="9">
        <v>72</v>
      </c>
      <c r="Z72" s="10">
        <v>42524.908333333333</v>
      </c>
      <c r="AA72" s="14">
        <f t="shared" si="8"/>
        <v>7277.3686517018059</v>
      </c>
      <c r="AB72" s="11">
        <f t="shared" si="9"/>
        <v>333.29999999999927</v>
      </c>
      <c r="AC72" s="9">
        <v>333.3</v>
      </c>
      <c r="AD72" s="12">
        <v>94</v>
      </c>
      <c r="AE72" s="13">
        <f t="shared" ref="AE72:AE133" si="11">1-(AA72-AD72-94)/AI$6</f>
        <v>0.65982288558447189</v>
      </c>
      <c r="AF72" s="13">
        <f t="shared" ref="AF72:AF133" si="12">ERF(AE72)</f>
        <v>0.64924739316350988</v>
      </c>
      <c r="AG72" s="15">
        <f t="shared" si="10"/>
        <v>0.67444930701915773</v>
      </c>
      <c r="AH72" s="11" t="s">
        <v>40</v>
      </c>
    </row>
    <row r="73" spans="1:34" ht="14.25">
      <c r="A73" s="9" t="s">
        <v>107</v>
      </c>
      <c r="B73" s="9" t="s">
        <v>34</v>
      </c>
      <c r="C73" s="9">
        <v>3.02</v>
      </c>
      <c r="D73" s="9">
        <v>15.007999999999999</v>
      </c>
      <c r="E73" s="9">
        <v>50.762999999999998</v>
      </c>
      <c r="F73" s="9">
        <v>0.27100000000000002</v>
      </c>
      <c r="G73" s="9">
        <v>10.271000000000001</v>
      </c>
      <c r="H73" s="9">
        <v>0.18</v>
      </c>
      <c r="I73" s="9">
        <v>8.2609999999999992</v>
      </c>
      <c r="J73" s="9">
        <v>7.86</v>
      </c>
      <c r="K73" s="9">
        <v>1.4510000000000001</v>
      </c>
      <c r="L73" s="9">
        <v>5.2999999999999999E-2</v>
      </c>
      <c r="M73" s="9">
        <v>0.88700000000000001</v>
      </c>
      <c r="Q73" s="9">
        <v>0</v>
      </c>
      <c r="R73" s="9">
        <v>98.025999999999996</v>
      </c>
      <c r="S73" s="9">
        <v>11422.5</v>
      </c>
      <c r="T73" s="9">
        <v>-998</v>
      </c>
      <c r="U73" s="9">
        <v>117</v>
      </c>
      <c r="V73" s="9" t="s">
        <v>34</v>
      </c>
      <c r="W73" s="9">
        <v>348.48</v>
      </c>
      <c r="X73" s="9">
        <v>12.343</v>
      </c>
      <c r="Y73" s="9">
        <v>73</v>
      </c>
      <c r="Z73" s="10">
        <v>42524.909942129627</v>
      </c>
      <c r="AA73" s="14">
        <f t="shared" si="8"/>
        <v>6566.6592004674485</v>
      </c>
      <c r="AB73" s="11">
        <f t="shared" si="9"/>
        <v>338.39999999999964</v>
      </c>
      <c r="AC73" s="9">
        <v>338.39999999999901</v>
      </c>
      <c r="AD73" s="12">
        <v>94</v>
      </c>
      <c r="AE73" s="13">
        <f t="shared" si="11"/>
        <v>0.69392565300801556</v>
      </c>
      <c r="AF73" s="13">
        <f t="shared" si="12"/>
        <v>0.67358429721098589</v>
      </c>
      <c r="AG73" s="15">
        <f t="shared" si="10"/>
        <v>0.72371953046359372</v>
      </c>
      <c r="AH73" s="11" t="s">
        <v>40</v>
      </c>
    </row>
    <row r="74" spans="1:34" ht="14.25">
      <c r="A74" s="9" t="s">
        <v>108</v>
      </c>
      <c r="B74" s="9" t="s">
        <v>34</v>
      </c>
      <c r="C74" s="9">
        <v>3.1440000000000001</v>
      </c>
      <c r="D74" s="9">
        <v>14.826000000000001</v>
      </c>
      <c r="E74" s="9">
        <v>50.576000000000001</v>
      </c>
      <c r="F74" s="9">
        <v>0.32800000000000001</v>
      </c>
      <c r="G74" s="9">
        <v>10.220000000000001</v>
      </c>
      <c r="H74" s="9">
        <v>0.19500000000000001</v>
      </c>
      <c r="I74" s="9">
        <v>8.1760000000000002</v>
      </c>
      <c r="J74" s="9">
        <v>7.9390000000000001</v>
      </c>
      <c r="K74" s="9">
        <v>1.472</v>
      </c>
      <c r="L74" s="9">
        <v>5.2999999999999999E-2</v>
      </c>
      <c r="M74" s="9">
        <v>0.87</v>
      </c>
      <c r="Q74" s="9">
        <v>3.2000000000000001E-2</v>
      </c>
      <c r="R74" s="9">
        <v>97.831999999999994</v>
      </c>
      <c r="S74" s="9">
        <v>11427.5</v>
      </c>
      <c r="T74" s="9">
        <v>-998</v>
      </c>
      <c r="U74" s="9">
        <v>117</v>
      </c>
      <c r="V74" s="9" t="s">
        <v>34</v>
      </c>
      <c r="W74" s="9">
        <v>353.54</v>
      </c>
      <c r="X74" s="9">
        <v>12.327999999999999</v>
      </c>
      <c r="Y74" s="9">
        <v>74</v>
      </c>
      <c r="Z74" s="10">
        <v>42524.911574074074</v>
      </c>
      <c r="AA74" s="14">
        <f t="shared" si="8"/>
        <v>6440.8044018113651</v>
      </c>
      <c r="AB74" s="11">
        <f t="shared" si="9"/>
        <v>343.39999999999964</v>
      </c>
      <c r="AC74" s="9">
        <v>343.39999999999901</v>
      </c>
      <c r="AD74" s="12">
        <v>94</v>
      </c>
      <c r="AE74" s="13">
        <f t="shared" si="11"/>
        <v>0.69996468473926798</v>
      </c>
      <c r="AF74" s="13">
        <f t="shared" si="12"/>
        <v>0.67777678068199088</v>
      </c>
      <c r="AG74" s="15">
        <f t="shared" si="10"/>
        <v>0.7328155292983074</v>
      </c>
      <c r="AH74" s="11" t="s">
        <v>40</v>
      </c>
    </row>
    <row r="75" spans="1:34" ht="14.25">
      <c r="A75" s="9" t="s">
        <v>109</v>
      </c>
      <c r="B75" s="9" t="s">
        <v>34</v>
      </c>
      <c r="C75" s="9">
        <v>3.073</v>
      </c>
      <c r="D75" s="9">
        <v>15.025</v>
      </c>
      <c r="E75" s="9">
        <v>51.04</v>
      </c>
      <c r="F75" s="9">
        <v>0.32600000000000001</v>
      </c>
      <c r="G75" s="9">
        <v>10.055</v>
      </c>
      <c r="H75" s="9">
        <v>0.22700000000000001</v>
      </c>
      <c r="I75" s="9">
        <v>8.2759999999999998</v>
      </c>
      <c r="J75" s="9">
        <v>7.8730000000000002</v>
      </c>
      <c r="K75" s="9">
        <v>1.4610000000000001</v>
      </c>
      <c r="L75" s="9">
        <v>4.2000000000000003E-2</v>
      </c>
      <c r="M75" s="9">
        <v>0.877</v>
      </c>
      <c r="Q75" s="9">
        <v>0</v>
      </c>
      <c r="R75" s="9">
        <v>98.274000000000001</v>
      </c>
      <c r="S75" s="9">
        <v>11432.6</v>
      </c>
      <c r="T75" s="9">
        <v>-998</v>
      </c>
      <c r="U75" s="9">
        <v>117</v>
      </c>
      <c r="V75" s="9" t="s">
        <v>34</v>
      </c>
      <c r="W75" s="9">
        <v>358.59</v>
      </c>
      <c r="X75" s="9">
        <v>12.364000000000001</v>
      </c>
      <c r="Y75" s="9">
        <v>75</v>
      </c>
      <c r="Z75" s="10">
        <v>42524.913194444445</v>
      </c>
      <c r="AA75" s="14">
        <f t="shared" si="8"/>
        <v>6492.6269659638701</v>
      </c>
      <c r="AB75" s="11">
        <f t="shared" si="9"/>
        <v>348.5</v>
      </c>
      <c r="AC75" s="9">
        <v>348.5</v>
      </c>
      <c r="AD75" s="12">
        <v>94</v>
      </c>
      <c r="AE75" s="13">
        <f t="shared" si="11"/>
        <v>0.6974780246146346</v>
      </c>
      <c r="AF75" s="13">
        <f t="shared" si="12"/>
        <v>0.67605473800565496</v>
      </c>
      <c r="AG75" s="15">
        <f t="shared" si="10"/>
        <v>0.72905550692414522</v>
      </c>
      <c r="AH75" s="11" t="s">
        <v>40</v>
      </c>
    </row>
    <row r="76" spans="1:34" ht="14.25">
      <c r="A76" s="9" t="s">
        <v>110</v>
      </c>
      <c r="B76" s="9" t="s">
        <v>34</v>
      </c>
      <c r="C76" s="9">
        <v>2.8780000000000001</v>
      </c>
      <c r="D76" s="9">
        <v>14.903</v>
      </c>
      <c r="E76" s="9">
        <v>50.64</v>
      </c>
      <c r="F76" s="9">
        <v>0.32700000000000001</v>
      </c>
      <c r="G76" s="9">
        <v>10.182</v>
      </c>
      <c r="H76" s="9">
        <v>0.14799999999999999</v>
      </c>
      <c r="I76" s="9">
        <v>8.1460000000000008</v>
      </c>
      <c r="J76" s="9">
        <v>7.6890000000000001</v>
      </c>
      <c r="K76" s="9">
        <v>1.4610000000000001</v>
      </c>
      <c r="L76" s="9">
        <v>5.7000000000000002E-2</v>
      </c>
      <c r="M76" s="9">
        <v>0.79</v>
      </c>
      <c r="Q76" s="9">
        <v>0</v>
      </c>
      <c r="R76" s="9">
        <v>97.22</v>
      </c>
      <c r="S76" s="9">
        <v>11437.6</v>
      </c>
      <c r="T76" s="9">
        <v>-998</v>
      </c>
      <c r="U76" s="9">
        <v>117</v>
      </c>
      <c r="V76" s="9" t="s">
        <v>34</v>
      </c>
      <c r="W76" s="9">
        <v>363.64</v>
      </c>
      <c r="X76" s="9">
        <v>12.22</v>
      </c>
      <c r="Y76" s="9">
        <v>76</v>
      </c>
      <c r="Z76" s="10">
        <v>42524.914780092593</v>
      </c>
      <c r="AA76" s="14">
        <f t="shared" si="8"/>
        <v>5848.5465257827327</v>
      </c>
      <c r="AB76" s="11">
        <f t="shared" si="9"/>
        <v>353.5</v>
      </c>
      <c r="AC76" s="9">
        <v>353.5</v>
      </c>
      <c r="AD76" s="12">
        <v>94</v>
      </c>
      <c r="AE76" s="13">
        <f t="shared" si="11"/>
        <v>0.7283836575922209</v>
      </c>
      <c r="AF76" s="13">
        <f t="shared" si="12"/>
        <v>0.69703226308712363</v>
      </c>
      <c r="AG76" s="15">
        <f t="shared" si="10"/>
        <v>0.77735636178541467</v>
      </c>
      <c r="AH76" s="11" t="s">
        <v>40</v>
      </c>
    </row>
    <row r="77" spans="1:34" ht="14.25">
      <c r="A77" s="9" t="s">
        <v>111</v>
      </c>
      <c r="B77" s="9" t="s">
        <v>34</v>
      </c>
      <c r="C77" s="9">
        <v>3.032</v>
      </c>
      <c r="D77" s="9">
        <v>14.811999999999999</v>
      </c>
      <c r="E77" s="9">
        <v>50.65</v>
      </c>
      <c r="F77" s="9">
        <v>0.35199999999999998</v>
      </c>
      <c r="G77" s="9">
        <v>10.262</v>
      </c>
      <c r="H77" s="9">
        <v>0.13600000000000001</v>
      </c>
      <c r="I77" s="9">
        <v>8.0039999999999996</v>
      </c>
      <c r="J77" s="9">
        <v>7.8390000000000004</v>
      </c>
      <c r="K77" s="9">
        <v>1.444</v>
      </c>
      <c r="L77" s="9">
        <v>4.8000000000000001E-2</v>
      </c>
      <c r="M77" s="9">
        <v>0.85299999999999998</v>
      </c>
      <c r="Q77" s="9">
        <v>2.1000000000000001E-2</v>
      </c>
      <c r="R77" s="9">
        <v>97.450999999999993</v>
      </c>
      <c r="S77" s="9">
        <v>11442.7</v>
      </c>
      <c r="T77" s="9">
        <v>-998</v>
      </c>
      <c r="U77" s="9">
        <v>117</v>
      </c>
      <c r="V77" s="9" t="s">
        <v>34</v>
      </c>
      <c r="W77" s="9">
        <v>368.69</v>
      </c>
      <c r="X77" s="9">
        <v>12.255000000000001</v>
      </c>
      <c r="Y77" s="9">
        <v>77</v>
      </c>
      <c r="Z77" s="10">
        <v>42524.916400462964</v>
      </c>
      <c r="AA77" s="14">
        <f t="shared" si="8"/>
        <v>6314.9496031552799</v>
      </c>
      <c r="AB77" s="11">
        <f t="shared" si="9"/>
        <v>358.60000000000036</v>
      </c>
      <c r="AC77" s="9">
        <v>358.6</v>
      </c>
      <c r="AD77" s="12">
        <v>94</v>
      </c>
      <c r="AE77" s="13">
        <f t="shared" si="11"/>
        <v>0.70600371647052051</v>
      </c>
      <c r="AF77" s="13">
        <f t="shared" si="12"/>
        <v>0.68193396960291619</v>
      </c>
      <c r="AG77" s="15">
        <f t="shared" si="10"/>
        <v>0.74203443586298468</v>
      </c>
      <c r="AH77" s="11" t="s">
        <v>40</v>
      </c>
    </row>
    <row r="78" spans="1:34" ht="14.25">
      <c r="A78" s="9" t="s">
        <v>112</v>
      </c>
      <c r="B78" s="9" t="s">
        <v>34</v>
      </c>
      <c r="C78" s="9">
        <v>3.056</v>
      </c>
      <c r="D78" s="9">
        <v>14.952999999999999</v>
      </c>
      <c r="E78" s="9">
        <v>50.496000000000002</v>
      </c>
      <c r="F78" s="9">
        <v>0.32</v>
      </c>
      <c r="G78" s="9">
        <v>9.9450000000000003</v>
      </c>
      <c r="H78" s="9">
        <v>0.16600000000000001</v>
      </c>
      <c r="I78" s="9">
        <v>8.18</v>
      </c>
      <c r="J78" s="9">
        <v>7.8310000000000004</v>
      </c>
      <c r="K78" s="9">
        <v>1.4350000000000001</v>
      </c>
      <c r="L78" s="9">
        <v>5.6000000000000001E-2</v>
      </c>
      <c r="M78" s="9">
        <v>0.77200000000000002</v>
      </c>
      <c r="Q78" s="9">
        <v>0</v>
      </c>
      <c r="R78" s="9">
        <v>97.209000000000003</v>
      </c>
      <c r="S78" s="9">
        <v>11447.7</v>
      </c>
      <c r="T78" s="9">
        <v>-998</v>
      </c>
      <c r="U78" s="9">
        <v>117</v>
      </c>
      <c r="V78" s="9" t="s">
        <v>34</v>
      </c>
      <c r="W78" s="9">
        <v>373.74</v>
      </c>
      <c r="X78" s="9">
        <v>12.202999999999999</v>
      </c>
      <c r="Y78" s="9">
        <v>78</v>
      </c>
      <c r="Z78" s="10">
        <v>42524.917997685188</v>
      </c>
      <c r="AA78" s="14">
        <f t="shared" si="8"/>
        <v>5715.2885036762909</v>
      </c>
      <c r="AB78" s="11">
        <f t="shared" si="9"/>
        <v>363.60000000000036</v>
      </c>
      <c r="AC78" s="9">
        <v>363.6</v>
      </c>
      <c r="AD78" s="12">
        <v>94</v>
      </c>
      <c r="AE78" s="13">
        <f t="shared" si="11"/>
        <v>0.73477792648413542</v>
      </c>
      <c r="AF78" s="13">
        <f t="shared" si="12"/>
        <v>0.70125707239613311</v>
      </c>
      <c r="AG78" s="15">
        <f t="shared" si="10"/>
        <v>0.78781109810540006</v>
      </c>
      <c r="AH78" s="11" t="s">
        <v>40</v>
      </c>
    </row>
    <row r="79" spans="1:34" ht="14.25">
      <c r="A79" s="9" t="s">
        <v>113</v>
      </c>
      <c r="B79" s="9" t="s">
        <v>34</v>
      </c>
      <c r="C79" s="9">
        <v>3.0190000000000001</v>
      </c>
      <c r="D79" s="9">
        <v>15.013999999999999</v>
      </c>
      <c r="E79" s="9">
        <v>51.012</v>
      </c>
      <c r="F79" s="9">
        <v>0.33900000000000002</v>
      </c>
      <c r="G79" s="9">
        <v>10.307</v>
      </c>
      <c r="H79" s="9">
        <v>0.184</v>
      </c>
      <c r="I79" s="9">
        <v>7.883</v>
      </c>
      <c r="J79" s="9">
        <v>7.835</v>
      </c>
      <c r="K79" s="9">
        <v>1.48</v>
      </c>
      <c r="L79" s="9">
        <v>5.1999999999999998E-2</v>
      </c>
      <c r="M79" s="9">
        <v>0.76500000000000001</v>
      </c>
      <c r="Q79" s="9">
        <v>0</v>
      </c>
      <c r="R79" s="9">
        <v>97.891000000000005</v>
      </c>
      <c r="S79" s="9">
        <v>11452.8</v>
      </c>
      <c r="T79" s="9">
        <v>-998</v>
      </c>
      <c r="U79" s="9">
        <v>117</v>
      </c>
      <c r="V79" s="9" t="s">
        <v>34</v>
      </c>
      <c r="W79" s="9">
        <v>378.79</v>
      </c>
      <c r="X79" s="9">
        <v>12.269</v>
      </c>
      <c r="Y79" s="9">
        <v>79</v>
      </c>
      <c r="Z79" s="10">
        <v>42524.919629629629</v>
      </c>
      <c r="AA79" s="14">
        <f t="shared" si="8"/>
        <v>5663.4659395237859</v>
      </c>
      <c r="AB79" s="11">
        <f t="shared" si="9"/>
        <v>368.69999999999891</v>
      </c>
      <c r="AC79" s="9">
        <v>368.69999999999902</v>
      </c>
      <c r="AD79" s="12">
        <v>94</v>
      </c>
      <c r="AE79" s="13">
        <f t="shared" si="11"/>
        <v>0.73726458660876881</v>
      </c>
      <c r="AF79" s="13">
        <f t="shared" si="12"/>
        <v>0.70288938124660505</v>
      </c>
      <c r="AG79" s="15">
        <f t="shared" si="10"/>
        <v>0.79192366915135504</v>
      </c>
      <c r="AH79" s="11" t="s">
        <v>40</v>
      </c>
    </row>
    <row r="80" spans="1:34" ht="14.25">
      <c r="A80" s="9" t="s">
        <v>114</v>
      </c>
      <c r="B80" s="9" t="s">
        <v>34</v>
      </c>
      <c r="C80" s="9">
        <v>3.048</v>
      </c>
      <c r="D80" s="9">
        <v>14.831</v>
      </c>
      <c r="E80" s="9">
        <v>50.609000000000002</v>
      </c>
      <c r="F80" s="9">
        <v>0.34599999999999997</v>
      </c>
      <c r="G80" s="9">
        <v>10.46</v>
      </c>
      <c r="H80" s="9">
        <v>0.14699999999999999</v>
      </c>
      <c r="I80" s="9">
        <v>8.0220000000000002</v>
      </c>
      <c r="J80" s="9">
        <v>7.8479999999999999</v>
      </c>
      <c r="K80" s="9">
        <v>1.49</v>
      </c>
      <c r="L80" s="9">
        <v>6.0999999999999999E-2</v>
      </c>
      <c r="M80" s="9">
        <v>0.79</v>
      </c>
      <c r="Q80" s="9">
        <v>0</v>
      </c>
      <c r="R80" s="9">
        <v>97.650999999999996</v>
      </c>
      <c r="S80" s="9">
        <v>11457.8</v>
      </c>
      <c r="T80" s="9">
        <v>-998</v>
      </c>
      <c r="U80" s="9">
        <v>117</v>
      </c>
      <c r="V80" s="9" t="s">
        <v>34</v>
      </c>
      <c r="W80" s="9">
        <v>383.84</v>
      </c>
      <c r="X80" s="9">
        <v>12.27</v>
      </c>
      <c r="Y80" s="9">
        <v>80</v>
      </c>
      <c r="Z80" s="10">
        <v>42524.921226851853</v>
      </c>
      <c r="AA80" s="14">
        <f t="shared" si="8"/>
        <v>5848.5465257827327</v>
      </c>
      <c r="AB80" s="11">
        <f t="shared" si="9"/>
        <v>373.69999999999891</v>
      </c>
      <c r="AC80" s="9">
        <v>373.69999999999902</v>
      </c>
      <c r="AD80" s="12">
        <v>94</v>
      </c>
      <c r="AE80" s="13">
        <f t="shared" si="11"/>
        <v>0.7283836575922209</v>
      </c>
      <c r="AF80" s="13">
        <f t="shared" si="12"/>
        <v>0.69703226308712363</v>
      </c>
      <c r="AG80" s="15">
        <f t="shared" si="10"/>
        <v>0.77735636178541467</v>
      </c>
      <c r="AH80" s="11" t="s">
        <v>40</v>
      </c>
    </row>
    <row r="81" spans="1:34" ht="14.25">
      <c r="A81" s="9" t="s">
        <v>115</v>
      </c>
      <c r="B81" s="9" t="s">
        <v>34</v>
      </c>
      <c r="C81" s="9">
        <v>3.008</v>
      </c>
      <c r="D81" s="9">
        <v>15</v>
      </c>
      <c r="E81" s="9">
        <v>50.521999999999998</v>
      </c>
      <c r="F81" s="9">
        <v>0.29699999999999999</v>
      </c>
      <c r="G81" s="9">
        <v>10.265000000000001</v>
      </c>
      <c r="H81" s="9">
        <v>0.16800000000000001</v>
      </c>
      <c r="I81" s="9">
        <v>8.26</v>
      </c>
      <c r="J81" s="9">
        <v>7.7679999999999998</v>
      </c>
      <c r="K81" s="9">
        <v>1.4670000000000001</v>
      </c>
      <c r="L81" s="9">
        <v>3.1E-2</v>
      </c>
      <c r="M81" s="9">
        <v>0.753</v>
      </c>
      <c r="Q81" s="9">
        <v>0</v>
      </c>
      <c r="R81" s="9">
        <v>97.537000000000006</v>
      </c>
      <c r="S81" s="9">
        <v>11462.9</v>
      </c>
      <c r="T81" s="9">
        <v>-998</v>
      </c>
      <c r="U81" s="9">
        <v>117</v>
      </c>
      <c r="V81" s="9" t="s">
        <v>34</v>
      </c>
      <c r="W81" s="9">
        <v>388.89</v>
      </c>
      <c r="X81" s="9">
        <v>12.260999999999999</v>
      </c>
      <c r="Y81" s="9">
        <v>81</v>
      </c>
      <c r="Z81" s="10">
        <v>42524.922835648147</v>
      </c>
      <c r="AA81" s="14">
        <f t="shared" si="8"/>
        <v>5574.6272581194926</v>
      </c>
      <c r="AB81" s="11">
        <f t="shared" si="9"/>
        <v>378.79999999999927</v>
      </c>
      <c r="AC81" s="9">
        <v>378.8</v>
      </c>
      <c r="AD81" s="12">
        <v>94</v>
      </c>
      <c r="AE81" s="13">
        <f t="shared" si="11"/>
        <v>0.74152743253671161</v>
      </c>
      <c r="AF81" s="13">
        <f t="shared" si="12"/>
        <v>0.70567372696592034</v>
      </c>
      <c r="AG81" s="15">
        <f t="shared" si="10"/>
        <v>0.79903679964482421</v>
      </c>
      <c r="AH81" s="11" t="s">
        <v>40</v>
      </c>
    </row>
    <row r="82" spans="1:34" ht="14.25">
      <c r="A82" s="9" t="s">
        <v>116</v>
      </c>
      <c r="B82" s="9" t="s">
        <v>34</v>
      </c>
      <c r="C82" s="9">
        <v>3.0840000000000001</v>
      </c>
      <c r="D82" s="9">
        <v>15.276999999999999</v>
      </c>
      <c r="E82" s="9">
        <v>51.256</v>
      </c>
      <c r="F82" s="9">
        <v>0.31900000000000001</v>
      </c>
      <c r="G82" s="9">
        <v>10.159000000000001</v>
      </c>
      <c r="H82" s="9">
        <v>8.7999999999999995E-2</v>
      </c>
      <c r="I82" s="9">
        <v>8.0649999999999995</v>
      </c>
      <c r="J82" s="9">
        <v>7.9619999999999997</v>
      </c>
      <c r="K82" s="9">
        <v>1.4450000000000001</v>
      </c>
      <c r="L82" s="9">
        <v>4.9000000000000002E-2</v>
      </c>
      <c r="M82" s="9">
        <v>0.70799999999999996</v>
      </c>
      <c r="Q82" s="9">
        <v>0</v>
      </c>
      <c r="R82" s="9">
        <v>98.411000000000001</v>
      </c>
      <c r="S82" s="9">
        <v>11467.9</v>
      </c>
      <c r="T82" s="9">
        <v>-998</v>
      </c>
      <c r="U82" s="9">
        <v>117</v>
      </c>
      <c r="V82" s="9" t="s">
        <v>34</v>
      </c>
      <c r="W82" s="9">
        <v>393.94</v>
      </c>
      <c r="X82" s="9">
        <v>12.31</v>
      </c>
      <c r="Y82" s="9">
        <v>82</v>
      </c>
      <c r="Z82" s="10">
        <v>42524.924456018518</v>
      </c>
      <c r="AA82" s="14">
        <f t="shared" si="8"/>
        <v>5241.4822028533854</v>
      </c>
      <c r="AB82" s="11">
        <f t="shared" si="9"/>
        <v>383.79999999999927</v>
      </c>
      <c r="AC82" s="9">
        <v>383.8</v>
      </c>
      <c r="AD82" s="12">
        <v>94</v>
      </c>
      <c r="AE82" s="13">
        <f t="shared" si="11"/>
        <v>0.7575131047664978</v>
      </c>
      <c r="AF82" s="13">
        <f t="shared" si="12"/>
        <v>0.7159588354499935</v>
      </c>
      <c r="AG82" s="15">
        <f t="shared" si="10"/>
        <v>0.8264617124812782</v>
      </c>
      <c r="AH82" s="11" t="s">
        <v>40</v>
      </c>
    </row>
    <row r="83" spans="1:34" ht="14.25">
      <c r="A83" s="9" t="s">
        <v>117</v>
      </c>
      <c r="B83" s="9" t="s">
        <v>34</v>
      </c>
      <c r="C83" s="9">
        <v>3.028</v>
      </c>
      <c r="D83" s="9">
        <v>14.983000000000001</v>
      </c>
      <c r="E83" s="9">
        <v>50.521999999999998</v>
      </c>
      <c r="F83" s="9">
        <v>0.28999999999999998</v>
      </c>
      <c r="G83" s="9">
        <v>10.199999999999999</v>
      </c>
      <c r="H83" s="9">
        <v>0.17799999999999999</v>
      </c>
      <c r="I83" s="9">
        <v>8.0500000000000007</v>
      </c>
      <c r="J83" s="9">
        <v>7.7809999999999997</v>
      </c>
      <c r="K83" s="9">
        <v>1.4410000000000001</v>
      </c>
      <c r="L83" s="9">
        <v>4.4999999999999998E-2</v>
      </c>
      <c r="M83" s="9">
        <v>0.70499999999999996</v>
      </c>
      <c r="Q83" s="9">
        <v>3.2000000000000001E-2</v>
      </c>
      <c r="R83" s="9">
        <v>97.257000000000005</v>
      </c>
      <c r="S83" s="9">
        <v>11473</v>
      </c>
      <c r="T83" s="9">
        <v>-998</v>
      </c>
      <c r="U83" s="9">
        <v>117</v>
      </c>
      <c r="V83" s="9" t="s">
        <v>34</v>
      </c>
      <c r="W83" s="9">
        <v>398.99</v>
      </c>
      <c r="X83" s="9">
        <v>12.211</v>
      </c>
      <c r="Y83" s="9">
        <v>83</v>
      </c>
      <c r="Z83" s="10">
        <v>42524.926064814812</v>
      </c>
      <c r="AA83" s="14">
        <f t="shared" si="8"/>
        <v>5219.272532502313</v>
      </c>
      <c r="AB83" s="11">
        <f t="shared" si="9"/>
        <v>388.89999999999964</v>
      </c>
      <c r="AC83" s="9">
        <v>388.89999999999901</v>
      </c>
      <c r="AD83" s="12">
        <v>94</v>
      </c>
      <c r="AE83" s="13">
        <f t="shared" si="11"/>
        <v>0.75857881624848345</v>
      </c>
      <c r="AF83" s="13">
        <f t="shared" si="12"/>
        <v>0.7166357509750767</v>
      </c>
      <c r="AG83" s="15">
        <f t="shared" si="10"/>
        <v>0.82833453740604679</v>
      </c>
      <c r="AH83" s="11" t="s">
        <v>40</v>
      </c>
    </row>
    <row r="84" spans="1:34" ht="14.25">
      <c r="A84" s="9" t="s">
        <v>118</v>
      </c>
      <c r="B84" s="9" t="s">
        <v>34</v>
      </c>
      <c r="C84" s="9">
        <v>3.0590000000000002</v>
      </c>
      <c r="D84" s="9">
        <v>15.115</v>
      </c>
      <c r="E84" s="9">
        <v>50.789000000000001</v>
      </c>
      <c r="F84" s="9">
        <v>0.35599999999999998</v>
      </c>
      <c r="G84" s="9">
        <v>9.9849999999999994</v>
      </c>
      <c r="H84" s="9">
        <v>0.14599999999999999</v>
      </c>
      <c r="I84" s="9">
        <v>8.0519999999999996</v>
      </c>
      <c r="J84" s="9">
        <v>7.9059999999999997</v>
      </c>
      <c r="K84" s="9">
        <v>1.4039999999999999</v>
      </c>
      <c r="L84" s="9">
        <v>4.8000000000000001E-2</v>
      </c>
      <c r="M84" s="9">
        <v>0.70799999999999996</v>
      </c>
      <c r="Q84" s="9">
        <v>4.9000000000000002E-2</v>
      </c>
      <c r="R84" s="9">
        <v>97.617000000000004</v>
      </c>
      <c r="S84" s="9">
        <v>11478</v>
      </c>
      <c r="T84" s="9">
        <v>-998</v>
      </c>
      <c r="U84" s="9">
        <v>117</v>
      </c>
      <c r="V84" s="9" t="s">
        <v>34</v>
      </c>
      <c r="W84" s="9">
        <v>404.04</v>
      </c>
      <c r="X84" s="9">
        <v>12.244999999999999</v>
      </c>
      <c r="Y84" s="9">
        <v>84</v>
      </c>
      <c r="Z84" s="10">
        <v>42524.927662037036</v>
      </c>
      <c r="AA84" s="14">
        <f t="shared" si="8"/>
        <v>5241.4822028533854</v>
      </c>
      <c r="AB84" s="11">
        <f t="shared" si="9"/>
        <v>393.89999999999964</v>
      </c>
      <c r="AC84" s="9">
        <v>393.89999999999901</v>
      </c>
      <c r="AD84" s="12">
        <v>94</v>
      </c>
      <c r="AE84" s="13">
        <f t="shared" si="11"/>
        <v>0.7575131047664978</v>
      </c>
      <c r="AF84" s="13">
        <f t="shared" si="12"/>
        <v>0.7159588354499935</v>
      </c>
      <c r="AG84" s="15">
        <f t="shared" si="10"/>
        <v>0.8264617124812782</v>
      </c>
      <c r="AH84" s="11" t="s">
        <v>40</v>
      </c>
    </row>
    <row r="85" spans="1:34" ht="14.25">
      <c r="A85" s="9" t="s">
        <v>119</v>
      </c>
      <c r="B85" s="9" t="s">
        <v>34</v>
      </c>
      <c r="C85" s="9">
        <v>2.9660000000000002</v>
      </c>
      <c r="D85" s="9">
        <v>15.010999999999999</v>
      </c>
      <c r="E85" s="9">
        <v>50.594000000000001</v>
      </c>
      <c r="F85" s="9">
        <v>0.28799999999999998</v>
      </c>
      <c r="G85" s="9">
        <v>10.368</v>
      </c>
      <c r="H85" s="9">
        <v>0.17100000000000001</v>
      </c>
      <c r="I85" s="9">
        <v>8.1579999999999995</v>
      </c>
      <c r="J85" s="9">
        <v>7.8159999999999998</v>
      </c>
      <c r="K85" s="9">
        <v>1.464</v>
      </c>
      <c r="L85" s="9">
        <v>4.8000000000000001E-2</v>
      </c>
      <c r="M85" s="9">
        <v>0.621</v>
      </c>
      <c r="Q85" s="9">
        <v>0</v>
      </c>
      <c r="R85" s="9">
        <v>97.504000000000005</v>
      </c>
      <c r="S85" s="9">
        <v>11483.1</v>
      </c>
      <c r="T85" s="9">
        <v>-998</v>
      </c>
      <c r="U85" s="9">
        <v>117</v>
      </c>
      <c r="V85" s="9" t="s">
        <v>34</v>
      </c>
      <c r="W85" s="9">
        <v>409.09</v>
      </c>
      <c r="X85" s="9">
        <v>12.226000000000001</v>
      </c>
      <c r="Y85" s="9">
        <v>85</v>
      </c>
      <c r="Z85" s="10">
        <v>42524.929282407407</v>
      </c>
      <c r="AA85" s="14">
        <f t="shared" si="8"/>
        <v>4597.4017626722498</v>
      </c>
      <c r="AB85" s="11">
        <f t="shared" si="9"/>
        <v>399</v>
      </c>
      <c r="AC85" s="9">
        <v>399</v>
      </c>
      <c r="AD85" s="12">
        <v>94</v>
      </c>
      <c r="AE85" s="13">
        <f t="shared" si="11"/>
        <v>0.78841873774408411</v>
      </c>
      <c r="AF85" s="13">
        <f t="shared" si="12"/>
        <v>0.73514635220803681</v>
      </c>
      <c r="AG85" s="15">
        <f t="shared" si="10"/>
        <v>0.88333842420927811</v>
      </c>
      <c r="AH85" s="11" t="s">
        <v>40</v>
      </c>
    </row>
    <row r="86" spans="1:34" ht="14.25">
      <c r="A86" s="9" t="s">
        <v>120</v>
      </c>
      <c r="B86" s="9" t="s">
        <v>34</v>
      </c>
      <c r="C86" s="9">
        <v>3.1539999999999999</v>
      </c>
      <c r="D86" s="9">
        <v>14.992000000000001</v>
      </c>
      <c r="E86" s="9">
        <v>50.854999999999997</v>
      </c>
      <c r="F86" s="9">
        <v>0.29899999999999999</v>
      </c>
      <c r="G86" s="9">
        <v>10.282</v>
      </c>
      <c r="H86" s="9">
        <v>0.154</v>
      </c>
      <c r="I86" s="9">
        <v>8.0890000000000004</v>
      </c>
      <c r="J86" s="9">
        <v>7.859</v>
      </c>
      <c r="K86" s="9">
        <v>1.4410000000000001</v>
      </c>
      <c r="L86" s="9">
        <v>0.05</v>
      </c>
      <c r="M86" s="9">
        <v>0.63900000000000001</v>
      </c>
      <c r="Q86" s="9">
        <v>1.4E-2</v>
      </c>
      <c r="R86" s="9">
        <v>97.828000000000003</v>
      </c>
      <c r="S86" s="9">
        <v>11488.1</v>
      </c>
      <c r="T86" s="9">
        <v>-998</v>
      </c>
      <c r="U86" s="9">
        <v>117</v>
      </c>
      <c r="V86" s="9" t="s">
        <v>34</v>
      </c>
      <c r="W86" s="9">
        <v>414.14</v>
      </c>
      <c r="X86" s="9">
        <v>12.256</v>
      </c>
      <c r="Y86" s="9">
        <v>86</v>
      </c>
      <c r="Z86" s="10">
        <v>42524.930868055555</v>
      </c>
      <c r="AA86" s="14">
        <f t="shared" si="8"/>
        <v>4730.6597847786916</v>
      </c>
      <c r="AB86" s="11">
        <f t="shared" si="9"/>
        <v>404</v>
      </c>
      <c r="AC86" s="9">
        <v>404</v>
      </c>
      <c r="AD86" s="12">
        <v>94</v>
      </c>
      <c r="AE86" s="13">
        <f t="shared" si="11"/>
        <v>0.7820244688521697</v>
      </c>
      <c r="AF86" s="13">
        <f t="shared" si="12"/>
        <v>0.73125166967679456</v>
      </c>
      <c r="AG86" s="15">
        <f t="shared" si="10"/>
        <v>0.87110549403969373</v>
      </c>
      <c r="AH86" s="11" t="s">
        <v>40</v>
      </c>
    </row>
    <row r="87" spans="1:34" ht="14.25">
      <c r="A87" s="9" t="s">
        <v>121</v>
      </c>
      <c r="B87" s="9" t="s">
        <v>34</v>
      </c>
      <c r="C87" s="9">
        <v>3.1019999999999999</v>
      </c>
      <c r="D87" s="9">
        <v>15.154999999999999</v>
      </c>
      <c r="E87" s="9">
        <v>50.23</v>
      </c>
      <c r="F87" s="9">
        <v>0.316</v>
      </c>
      <c r="G87" s="9">
        <v>10.167</v>
      </c>
      <c r="H87" s="9">
        <v>0.17399999999999999</v>
      </c>
      <c r="I87" s="9">
        <v>8.0299999999999994</v>
      </c>
      <c r="J87" s="9">
        <v>7.9820000000000002</v>
      </c>
      <c r="K87" s="9">
        <v>1.472</v>
      </c>
      <c r="L87" s="9">
        <v>5.5E-2</v>
      </c>
      <c r="M87" s="9">
        <v>0.60299999999999998</v>
      </c>
      <c r="Q87" s="9">
        <v>0</v>
      </c>
      <c r="R87" s="9">
        <v>97.284000000000006</v>
      </c>
      <c r="S87" s="9">
        <v>11493.2</v>
      </c>
      <c r="T87" s="9">
        <v>-998</v>
      </c>
      <c r="U87" s="9">
        <v>117</v>
      </c>
      <c r="V87" s="9" t="s">
        <v>34</v>
      </c>
      <c r="W87" s="9">
        <v>419.19</v>
      </c>
      <c r="X87" s="9">
        <v>12.173999999999999</v>
      </c>
      <c r="Y87" s="9">
        <v>87</v>
      </c>
      <c r="Z87" s="10">
        <v>42524.932476851849</v>
      </c>
      <c r="AA87" s="14">
        <f t="shared" si="8"/>
        <v>4464.1437405658071</v>
      </c>
      <c r="AB87" s="11">
        <f t="shared" si="9"/>
        <v>409.10000000000036</v>
      </c>
      <c r="AC87" s="9">
        <v>409.1</v>
      </c>
      <c r="AD87" s="12">
        <v>94</v>
      </c>
      <c r="AE87" s="13">
        <f t="shared" si="11"/>
        <v>0.79481300663599852</v>
      </c>
      <c r="AF87" s="13">
        <f t="shared" si="12"/>
        <v>0.73900196330532752</v>
      </c>
      <c r="AG87" s="15">
        <f t="shared" si="10"/>
        <v>0.89584159985901823</v>
      </c>
      <c r="AH87" s="11" t="s">
        <v>40</v>
      </c>
    </row>
    <row r="88" spans="1:34" ht="14.25">
      <c r="A88" s="9" t="s">
        <v>122</v>
      </c>
      <c r="B88" s="9" t="s">
        <v>34</v>
      </c>
      <c r="C88" s="9">
        <v>3.08</v>
      </c>
      <c r="D88" s="9">
        <v>15.019</v>
      </c>
      <c r="E88" s="9">
        <v>50.686</v>
      </c>
      <c r="F88" s="9">
        <v>0.33900000000000002</v>
      </c>
      <c r="G88" s="9">
        <v>10.260999999999999</v>
      </c>
      <c r="H88" s="9">
        <v>0.18</v>
      </c>
      <c r="I88" s="9">
        <v>8.0359999999999996</v>
      </c>
      <c r="J88" s="9">
        <v>7.7350000000000003</v>
      </c>
      <c r="K88" s="9">
        <v>1.5029999999999999</v>
      </c>
      <c r="L88" s="9">
        <v>4.2999999999999997E-2</v>
      </c>
      <c r="M88" s="9">
        <v>0.626</v>
      </c>
      <c r="Q88" s="9">
        <v>6.3E-2</v>
      </c>
      <c r="R88" s="9">
        <v>97.570999999999998</v>
      </c>
      <c r="S88" s="9">
        <v>11498.2</v>
      </c>
      <c r="T88" s="9">
        <v>-998</v>
      </c>
      <c r="U88" s="9">
        <v>117</v>
      </c>
      <c r="V88" s="9" t="s">
        <v>34</v>
      </c>
      <c r="W88" s="9">
        <v>424.24</v>
      </c>
      <c r="X88" s="9">
        <v>12.252000000000001</v>
      </c>
      <c r="Y88" s="9">
        <v>88</v>
      </c>
      <c r="Z88" s="10">
        <v>42524.934062499997</v>
      </c>
      <c r="AA88" s="14">
        <f t="shared" si="8"/>
        <v>4634.417879924039</v>
      </c>
      <c r="AB88" s="11">
        <f t="shared" si="9"/>
        <v>414.10000000000036</v>
      </c>
      <c r="AC88" s="9">
        <v>414.1</v>
      </c>
      <c r="AD88" s="12">
        <v>94</v>
      </c>
      <c r="AE88" s="13">
        <f t="shared" si="11"/>
        <v>0.78664255194077448</v>
      </c>
      <c r="AF88" s="13">
        <f t="shared" si="12"/>
        <v>0.73406841842768822</v>
      </c>
      <c r="AG88" s="15">
        <f t="shared" si="10"/>
        <v>0.87991394225691555</v>
      </c>
      <c r="AH88" s="11" t="s">
        <v>40</v>
      </c>
    </row>
    <row r="89" spans="1:34" ht="14.25">
      <c r="A89" s="9" t="s">
        <v>123</v>
      </c>
      <c r="B89" s="9" t="s">
        <v>34</v>
      </c>
      <c r="C89" s="9">
        <v>3.12</v>
      </c>
      <c r="D89" s="9">
        <v>14.948</v>
      </c>
      <c r="E89" s="9">
        <v>50.944000000000003</v>
      </c>
      <c r="F89" s="9">
        <v>0.28299999999999997</v>
      </c>
      <c r="G89" s="9">
        <v>10.294</v>
      </c>
      <c r="H89" s="9">
        <v>0.14499999999999999</v>
      </c>
      <c r="I89" s="9">
        <v>8.2579999999999991</v>
      </c>
      <c r="J89" s="9">
        <v>7.9669999999999996</v>
      </c>
      <c r="K89" s="9">
        <v>1.4790000000000001</v>
      </c>
      <c r="L89" s="9">
        <v>0.05</v>
      </c>
      <c r="M89" s="9">
        <v>0.55800000000000005</v>
      </c>
      <c r="Q89" s="9">
        <v>3.0000000000000001E-3</v>
      </c>
      <c r="R89" s="9">
        <v>98.05</v>
      </c>
      <c r="S89" s="9">
        <v>11503.3</v>
      </c>
      <c r="T89" s="9">
        <v>-998</v>
      </c>
      <c r="U89" s="9">
        <v>117</v>
      </c>
      <c r="V89" s="9" t="s">
        <v>34</v>
      </c>
      <c r="W89" s="9">
        <v>429.29</v>
      </c>
      <c r="X89" s="9">
        <v>12.276</v>
      </c>
      <c r="Y89" s="9">
        <v>89</v>
      </c>
      <c r="Z89" s="10">
        <v>42524.935659722221</v>
      </c>
      <c r="AA89" s="14">
        <f t="shared" si="8"/>
        <v>4130.9986852997035</v>
      </c>
      <c r="AB89" s="11">
        <f t="shared" si="9"/>
        <v>419.19999999999891</v>
      </c>
      <c r="AC89" s="9">
        <v>419.19999999999902</v>
      </c>
      <c r="AD89" s="12">
        <v>94</v>
      </c>
      <c r="AE89" s="13">
        <f t="shared" si="11"/>
        <v>0.81079867886578449</v>
      </c>
      <c r="AF89" s="13">
        <f t="shared" si="12"/>
        <v>0.7484705911869487</v>
      </c>
      <c r="AG89" s="15">
        <f t="shared" si="10"/>
        <v>0.92839265021150175</v>
      </c>
      <c r="AH89" s="11" t="s">
        <v>40</v>
      </c>
    </row>
    <row r="90" spans="1:34" ht="14.25">
      <c r="A90" s="9" t="s">
        <v>124</v>
      </c>
      <c r="B90" s="9" t="s">
        <v>34</v>
      </c>
      <c r="C90" s="9">
        <v>3.0819999999999999</v>
      </c>
      <c r="D90" s="9">
        <v>15.000999999999999</v>
      </c>
      <c r="E90" s="9">
        <v>50.718000000000004</v>
      </c>
      <c r="F90" s="9">
        <v>0.34499999999999997</v>
      </c>
      <c r="G90" s="9">
        <v>10.291</v>
      </c>
      <c r="H90" s="9">
        <v>0.152</v>
      </c>
      <c r="I90" s="9">
        <v>8.0980000000000008</v>
      </c>
      <c r="J90" s="9">
        <v>7.8010000000000002</v>
      </c>
      <c r="K90" s="9">
        <v>1.4750000000000001</v>
      </c>
      <c r="L90" s="9">
        <v>4.1000000000000002E-2</v>
      </c>
      <c r="M90" s="9">
        <v>0.52200000000000002</v>
      </c>
      <c r="Q90" s="9">
        <v>0</v>
      </c>
      <c r="R90" s="9">
        <v>97.525999999999996</v>
      </c>
      <c r="S90" s="9">
        <v>11508.3</v>
      </c>
      <c r="T90" s="9">
        <v>-998</v>
      </c>
      <c r="U90" s="9">
        <v>117</v>
      </c>
      <c r="V90" s="9" t="s">
        <v>34</v>
      </c>
      <c r="W90" s="9">
        <v>434.34</v>
      </c>
      <c r="X90" s="9">
        <v>12.196999999999999</v>
      </c>
      <c r="Y90" s="9">
        <v>90</v>
      </c>
      <c r="Z90" s="10">
        <v>42524.937245370369</v>
      </c>
      <c r="AA90" s="14">
        <f t="shared" si="8"/>
        <v>3864.4826410868186</v>
      </c>
      <c r="AB90" s="11">
        <f t="shared" si="9"/>
        <v>424.19999999999891</v>
      </c>
      <c r="AC90" s="9">
        <v>424.19999999999902</v>
      </c>
      <c r="AD90" s="12">
        <v>94</v>
      </c>
      <c r="AE90" s="13">
        <f t="shared" si="11"/>
        <v>0.82358721664961332</v>
      </c>
      <c r="AF90" s="13">
        <f t="shared" si="12"/>
        <v>0.75587097437955353</v>
      </c>
      <c r="AG90" s="15">
        <f t="shared" si="10"/>
        <v>0.95592555561418979</v>
      </c>
      <c r="AH90" s="11" t="s">
        <v>40</v>
      </c>
    </row>
    <row r="91" spans="1:34" ht="14.25">
      <c r="A91" s="9" t="s">
        <v>125</v>
      </c>
      <c r="B91" s="9" t="s">
        <v>34</v>
      </c>
      <c r="C91" s="9">
        <v>2.9489999999999998</v>
      </c>
      <c r="D91" s="9">
        <v>14.932</v>
      </c>
      <c r="E91" s="9">
        <v>50.712000000000003</v>
      </c>
      <c r="F91" s="9">
        <v>0.32800000000000001</v>
      </c>
      <c r="G91" s="9">
        <v>10.204000000000001</v>
      </c>
      <c r="H91" s="9">
        <v>0.16400000000000001</v>
      </c>
      <c r="I91" s="9">
        <v>8.0280000000000005</v>
      </c>
      <c r="J91" s="9">
        <v>7.8710000000000004</v>
      </c>
      <c r="K91" s="9">
        <v>1.4339999999999999</v>
      </c>
      <c r="L91" s="9">
        <v>3.5999999999999997E-2</v>
      </c>
      <c r="M91" s="9">
        <v>0.56999999999999995</v>
      </c>
      <c r="Q91" s="9">
        <v>0</v>
      </c>
      <c r="R91" s="9">
        <v>97.227000000000004</v>
      </c>
      <c r="S91" s="9">
        <v>11513.4</v>
      </c>
      <c r="T91" s="9">
        <v>-998</v>
      </c>
      <c r="U91" s="9">
        <v>117</v>
      </c>
      <c r="V91" s="9" t="s">
        <v>34</v>
      </c>
      <c r="W91" s="9">
        <v>439.39</v>
      </c>
      <c r="X91" s="9">
        <v>12.16</v>
      </c>
      <c r="Y91" s="9">
        <v>91</v>
      </c>
      <c r="Z91" s="10">
        <v>42524.938854166663</v>
      </c>
      <c r="AA91" s="14">
        <f t="shared" si="8"/>
        <v>4219.8373667039978</v>
      </c>
      <c r="AB91" s="11">
        <f t="shared" si="9"/>
        <v>429.29999999999927</v>
      </c>
      <c r="AC91" s="9">
        <v>429.3</v>
      </c>
      <c r="AD91" s="12">
        <v>94</v>
      </c>
      <c r="AE91" s="13">
        <f t="shared" si="11"/>
        <v>0.80653583293784159</v>
      </c>
      <c r="AF91" s="13">
        <f t="shared" si="12"/>
        <v>0.74596937529971608</v>
      </c>
      <c r="AG91" s="15">
        <f t="shared" si="10"/>
        <v>0.9195211275057219</v>
      </c>
      <c r="AH91" s="11" t="s">
        <v>40</v>
      </c>
    </row>
    <row r="92" spans="1:34" ht="14.25">
      <c r="A92" s="9" t="s">
        <v>126</v>
      </c>
      <c r="B92" s="9" t="s">
        <v>34</v>
      </c>
      <c r="C92" s="9">
        <v>3.0710000000000002</v>
      </c>
      <c r="D92" s="9">
        <v>15.161</v>
      </c>
      <c r="E92" s="9">
        <v>50.58</v>
      </c>
      <c r="F92" s="9">
        <v>0.314</v>
      </c>
      <c r="G92" s="9">
        <v>10.23</v>
      </c>
      <c r="H92" s="9">
        <v>0.18099999999999999</v>
      </c>
      <c r="I92" s="9">
        <v>8.0259999999999998</v>
      </c>
      <c r="J92" s="9">
        <v>7.8010000000000002</v>
      </c>
      <c r="K92" s="9">
        <v>1.4350000000000001</v>
      </c>
      <c r="L92" s="9">
        <v>4.3999999999999997E-2</v>
      </c>
      <c r="M92" s="9">
        <v>0.52500000000000002</v>
      </c>
      <c r="Q92" s="9">
        <v>0</v>
      </c>
      <c r="R92" s="9">
        <v>97.367999999999995</v>
      </c>
      <c r="S92" s="9">
        <v>11518.4</v>
      </c>
      <c r="T92" s="9">
        <v>-998</v>
      </c>
      <c r="U92" s="9">
        <v>117</v>
      </c>
      <c r="V92" s="9" t="s">
        <v>34</v>
      </c>
      <c r="W92" s="9">
        <v>444.44</v>
      </c>
      <c r="X92" s="9">
        <v>12.167999999999999</v>
      </c>
      <c r="Y92" s="9">
        <v>92</v>
      </c>
      <c r="Z92" s="10">
        <v>42524.940451388888</v>
      </c>
      <c r="AA92" s="14">
        <f t="shared" si="8"/>
        <v>3886.6923114378919</v>
      </c>
      <c r="AB92" s="11">
        <f t="shared" si="9"/>
        <v>434.29999999999927</v>
      </c>
      <c r="AC92" s="9">
        <v>434.3</v>
      </c>
      <c r="AD92" s="12">
        <v>94</v>
      </c>
      <c r="AE92" s="13">
        <f t="shared" si="11"/>
        <v>0.82252150516762756</v>
      </c>
      <c r="AF92" s="13">
        <f t="shared" si="12"/>
        <v>0.75526017918643418</v>
      </c>
      <c r="AG92" s="15">
        <f t="shared" si="10"/>
        <v>0.95357557129299608</v>
      </c>
      <c r="AH92" s="11" t="s">
        <v>40</v>
      </c>
    </row>
    <row r="93" spans="1:34" ht="14.25">
      <c r="A93" s="9" t="s">
        <v>127</v>
      </c>
      <c r="B93" s="9" t="s">
        <v>34</v>
      </c>
      <c r="C93" s="9">
        <v>3.0819999999999999</v>
      </c>
      <c r="D93" s="9">
        <v>14.999000000000001</v>
      </c>
      <c r="E93" s="9">
        <v>50.7</v>
      </c>
      <c r="F93" s="9">
        <v>0.317</v>
      </c>
      <c r="G93" s="9">
        <v>10.255000000000001</v>
      </c>
      <c r="H93" s="9">
        <v>0.16900000000000001</v>
      </c>
      <c r="I93" s="9">
        <v>8.3070000000000004</v>
      </c>
      <c r="J93" s="9">
        <v>8.0250000000000004</v>
      </c>
      <c r="K93" s="9">
        <v>1.474</v>
      </c>
      <c r="L93" s="9">
        <v>4.1000000000000002E-2</v>
      </c>
      <c r="M93" s="9">
        <v>0.47499999999999998</v>
      </c>
      <c r="Q93" s="9">
        <v>1.4E-2</v>
      </c>
      <c r="R93" s="9">
        <v>97.858000000000004</v>
      </c>
      <c r="S93" s="9">
        <v>11523.5</v>
      </c>
      <c r="T93" s="9">
        <v>-998</v>
      </c>
      <c r="U93" s="9">
        <v>117</v>
      </c>
      <c r="V93" s="9" t="s">
        <v>34</v>
      </c>
      <c r="W93" s="9">
        <v>449.5</v>
      </c>
      <c r="X93" s="9">
        <v>12.250999999999999</v>
      </c>
      <c r="Y93" s="9">
        <v>93</v>
      </c>
      <c r="Z93" s="10">
        <v>42524.942071759258</v>
      </c>
      <c r="AA93" s="14">
        <f t="shared" si="8"/>
        <v>3516.5311389199978</v>
      </c>
      <c r="AB93" s="11">
        <f t="shared" si="9"/>
        <v>439.39999999999964</v>
      </c>
      <c r="AC93" s="9">
        <v>439.39999999999901</v>
      </c>
      <c r="AD93" s="12">
        <v>94</v>
      </c>
      <c r="AE93" s="13">
        <f t="shared" si="11"/>
        <v>0.84028336320072317</v>
      </c>
      <c r="AF93" s="13">
        <f t="shared" si="12"/>
        <v>0.76530056594585949</v>
      </c>
      <c r="AG93" s="15">
        <f t="shared" si="10"/>
        <v>0.99420996558033081</v>
      </c>
      <c r="AH93" s="11" t="s">
        <v>40</v>
      </c>
    </row>
    <row r="94" spans="1:34" ht="14.25">
      <c r="A94" s="9" t="s">
        <v>128</v>
      </c>
      <c r="B94" s="9" t="s">
        <v>34</v>
      </c>
      <c r="C94" s="9">
        <v>3.149</v>
      </c>
      <c r="D94" s="9">
        <v>14.92</v>
      </c>
      <c r="E94" s="9">
        <v>50.542000000000002</v>
      </c>
      <c r="F94" s="9">
        <v>0.33300000000000002</v>
      </c>
      <c r="G94" s="9">
        <v>10.266</v>
      </c>
      <c r="H94" s="9">
        <v>0.18099999999999999</v>
      </c>
      <c r="I94" s="9">
        <v>8.0690000000000008</v>
      </c>
      <c r="J94" s="9">
        <v>7.7759999999999998</v>
      </c>
      <c r="K94" s="9">
        <v>1.494</v>
      </c>
      <c r="L94" s="9">
        <v>3.9E-2</v>
      </c>
      <c r="M94" s="9">
        <v>0.48199999999999998</v>
      </c>
      <c r="Q94" s="9">
        <v>0</v>
      </c>
      <c r="R94" s="9">
        <v>97.251999999999995</v>
      </c>
      <c r="S94" s="9">
        <v>11528.6</v>
      </c>
      <c r="T94" s="9">
        <v>-998</v>
      </c>
      <c r="U94" s="9">
        <v>117</v>
      </c>
      <c r="V94" s="9" t="s">
        <v>34</v>
      </c>
      <c r="W94" s="9">
        <v>454.55</v>
      </c>
      <c r="X94" s="9">
        <v>12.157999999999999</v>
      </c>
      <c r="Y94" s="9">
        <v>94</v>
      </c>
      <c r="Z94" s="10">
        <v>42524.943692129629</v>
      </c>
      <c r="AA94" s="14">
        <f t="shared" si="8"/>
        <v>3568.3537030725033</v>
      </c>
      <c r="AB94" s="11">
        <f t="shared" si="9"/>
        <v>444.5</v>
      </c>
      <c r="AC94" s="9">
        <v>444.5</v>
      </c>
      <c r="AD94" s="12">
        <v>94</v>
      </c>
      <c r="AE94" s="13">
        <f t="shared" si="11"/>
        <v>0.83779670307608978</v>
      </c>
      <c r="AF94" s="13">
        <f t="shared" si="12"/>
        <v>0.76391274512055907</v>
      </c>
      <c r="AG94" s="15">
        <f t="shared" si="10"/>
        <v>0.98832285937888276</v>
      </c>
      <c r="AH94" s="11" t="s">
        <v>40</v>
      </c>
    </row>
    <row r="95" spans="1:34" ht="14.25">
      <c r="A95" s="9" t="s">
        <v>129</v>
      </c>
      <c r="B95" s="9" t="s">
        <v>34</v>
      </c>
      <c r="C95" s="9">
        <v>3.0030000000000001</v>
      </c>
      <c r="D95" s="9">
        <v>15.154999999999999</v>
      </c>
      <c r="E95" s="9">
        <v>50.67</v>
      </c>
      <c r="F95" s="9">
        <v>0.31</v>
      </c>
      <c r="G95" s="9">
        <v>10.137</v>
      </c>
      <c r="H95" s="9">
        <v>0.153</v>
      </c>
      <c r="I95" s="9">
        <v>8.0890000000000004</v>
      </c>
      <c r="J95" s="9">
        <v>7.9279999999999999</v>
      </c>
      <c r="K95" s="9">
        <v>1.468</v>
      </c>
      <c r="L95" s="9">
        <v>3.5000000000000003E-2</v>
      </c>
      <c r="M95" s="9">
        <v>0.49099999999999999</v>
      </c>
      <c r="Q95" s="9">
        <v>0</v>
      </c>
      <c r="R95" s="9">
        <v>97.44</v>
      </c>
      <c r="S95" s="9">
        <v>11533.6</v>
      </c>
      <c r="T95" s="9">
        <v>-998</v>
      </c>
      <c r="U95" s="9">
        <v>117</v>
      </c>
      <c r="V95" s="9" t="s">
        <v>34</v>
      </c>
      <c r="W95" s="9">
        <v>459.6</v>
      </c>
      <c r="X95" s="9">
        <v>12.167999999999999</v>
      </c>
      <c r="Y95" s="9">
        <v>95</v>
      </c>
      <c r="Z95" s="10">
        <v>42524.945300925923</v>
      </c>
      <c r="AA95" s="14">
        <f t="shared" si="8"/>
        <v>3634.9827141257242</v>
      </c>
      <c r="AB95" s="11">
        <f t="shared" si="9"/>
        <v>449.5</v>
      </c>
      <c r="AC95" s="9">
        <v>449.5</v>
      </c>
      <c r="AD95" s="12">
        <v>94</v>
      </c>
      <c r="AE95" s="13">
        <f t="shared" si="11"/>
        <v>0.83459956863013263</v>
      </c>
      <c r="AF95" s="13">
        <f t="shared" si="12"/>
        <v>0.76211988858531154</v>
      </c>
      <c r="AG95" s="15">
        <f t="shared" si="10"/>
        <v>0.98085295894130964</v>
      </c>
      <c r="AH95" s="11" t="s">
        <v>40</v>
      </c>
    </row>
    <row r="96" spans="1:34" ht="14.25">
      <c r="A96" s="9" t="s">
        <v>130</v>
      </c>
      <c r="B96" s="9" t="s">
        <v>34</v>
      </c>
      <c r="C96" s="9">
        <v>3.01</v>
      </c>
      <c r="D96" s="9">
        <v>15.051</v>
      </c>
      <c r="E96" s="9">
        <v>50.71</v>
      </c>
      <c r="F96" s="9">
        <v>0.35199999999999998</v>
      </c>
      <c r="G96" s="9">
        <v>10.294</v>
      </c>
      <c r="H96" s="9">
        <v>0.13100000000000001</v>
      </c>
      <c r="I96" s="9">
        <v>7.944</v>
      </c>
      <c r="J96" s="9">
        <v>7.9139999999999997</v>
      </c>
      <c r="K96" s="9">
        <v>1.518</v>
      </c>
      <c r="L96" s="9">
        <v>3.6999999999999998E-2</v>
      </c>
      <c r="M96" s="9">
        <v>0.495</v>
      </c>
      <c r="Q96" s="9">
        <v>2.1999999999999999E-2</v>
      </c>
      <c r="R96" s="9">
        <v>97.475999999999999</v>
      </c>
      <c r="S96" s="9">
        <v>11538.7</v>
      </c>
      <c r="T96" s="9">
        <v>-998</v>
      </c>
      <c r="U96" s="9">
        <v>117</v>
      </c>
      <c r="V96" s="9" t="s">
        <v>34</v>
      </c>
      <c r="W96" s="9">
        <v>464.65</v>
      </c>
      <c r="X96" s="9">
        <v>12.180999999999999</v>
      </c>
      <c r="Y96" s="9">
        <v>96</v>
      </c>
      <c r="Z96" s="10">
        <v>42524.946898148148</v>
      </c>
      <c r="AA96" s="14">
        <f t="shared" si="8"/>
        <v>3664.5956079271559</v>
      </c>
      <c r="AB96" s="11">
        <f t="shared" si="9"/>
        <v>454.60000000000036</v>
      </c>
      <c r="AC96" s="9">
        <v>454.6</v>
      </c>
      <c r="AD96" s="12">
        <v>94</v>
      </c>
      <c r="AE96" s="13">
        <f t="shared" si="11"/>
        <v>0.83317861998748488</v>
      </c>
      <c r="AF96" s="13">
        <f t="shared" si="12"/>
        <v>0.76131998494762587</v>
      </c>
      <c r="AG96" s="15">
        <f t="shared" si="10"/>
        <v>0.97756786687909303</v>
      </c>
      <c r="AH96" s="11" t="s">
        <v>40</v>
      </c>
    </row>
    <row r="97" spans="1:34" ht="14.25">
      <c r="A97" s="9" t="s">
        <v>131</v>
      </c>
      <c r="B97" s="9" t="s">
        <v>34</v>
      </c>
      <c r="C97" s="9">
        <v>3.0630000000000002</v>
      </c>
      <c r="D97" s="9">
        <v>15.122999999999999</v>
      </c>
      <c r="E97" s="9">
        <v>50.634</v>
      </c>
      <c r="F97" s="9">
        <v>0.30299999999999999</v>
      </c>
      <c r="G97" s="9">
        <v>10.242000000000001</v>
      </c>
      <c r="H97" s="9">
        <v>0.17</v>
      </c>
      <c r="I97" s="9">
        <v>8.093</v>
      </c>
      <c r="J97" s="9">
        <v>7.915</v>
      </c>
      <c r="K97" s="9">
        <v>1.4790000000000001</v>
      </c>
      <c r="L97" s="9">
        <v>3.6999999999999998E-2</v>
      </c>
      <c r="M97" s="9">
        <v>0.50600000000000001</v>
      </c>
      <c r="Q97" s="9">
        <v>0.03</v>
      </c>
      <c r="R97" s="9">
        <v>97.596000000000004</v>
      </c>
      <c r="S97" s="9">
        <v>11543.7</v>
      </c>
      <c r="T97" s="9">
        <v>-998</v>
      </c>
      <c r="U97" s="9">
        <v>117</v>
      </c>
      <c r="V97" s="9" t="s">
        <v>34</v>
      </c>
      <c r="W97" s="9">
        <v>469.7</v>
      </c>
      <c r="X97" s="9">
        <v>12.212</v>
      </c>
      <c r="Y97" s="9">
        <v>97</v>
      </c>
      <c r="Z97" s="10">
        <v>42524.948506944442</v>
      </c>
      <c r="AA97" s="14">
        <f t="shared" si="8"/>
        <v>3746.0310658810927</v>
      </c>
      <c r="AB97" s="11">
        <f t="shared" si="9"/>
        <v>459.60000000000036</v>
      </c>
      <c r="AC97" s="9">
        <v>459.6</v>
      </c>
      <c r="AD97" s="12">
        <v>94</v>
      </c>
      <c r="AE97" s="13">
        <f t="shared" si="11"/>
        <v>0.82927101122020397</v>
      </c>
      <c r="AF97" s="13">
        <f t="shared" si="12"/>
        <v>0.75911046859213549</v>
      </c>
      <c r="AG97" s="15">
        <f t="shared" si="10"/>
        <v>0.96864096280012679</v>
      </c>
      <c r="AH97" s="11" t="s">
        <v>40</v>
      </c>
    </row>
    <row r="98" spans="1:34" ht="14.25">
      <c r="A98" s="9" t="s">
        <v>132</v>
      </c>
      <c r="B98" s="9" t="s">
        <v>34</v>
      </c>
      <c r="C98" s="9">
        <v>3.1389999999999998</v>
      </c>
      <c r="D98" s="9">
        <v>15.108000000000001</v>
      </c>
      <c r="E98" s="9">
        <v>50.765000000000001</v>
      </c>
      <c r="F98" s="9">
        <v>0.28899999999999998</v>
      </c>
      <c r="G98" s="9">
        <v>10.157</v>
      </c>
      <c r="H98" s="9">
        <v>0.16200000000000001</v>
      </c>
      <c r="I98" s="9">
        <v>8.3510000000000009</v>
      </c>
      <c r="J98" s="9">
        <v>7.9619999999999997</v>
      </c>
      <c r="K98" s="9">
        <v>1.4359999999999999</v>
      </c>
      <c r="L98" s="9">
        <v>1.7999999999999999E-2</v>
      </c>
      <c r="M98" s="9">
        <v>0.41699999999999998</v>
      </c>
      <c r="Q98" s="9">
        <v>3.0000000000000001E-3</v>
      </c>
      <c r="R98" s="9">
        <v>97.808000000000007</v>
      </c>
      <c r="S98" s="9">
        <v>11548.8</v>
      </c>
      <c r="T98" s="9">
        <v>-998</v>
      </c>
      <c r="U98" s="9">
        <v>117</v>
      </c>
      <c r="V98" s="9" t="s">
        <v>34</v>
      </c>
      <c r="W98" s="9">
        <v>474.75</v>
      </c>
      <c r="X98" s="9">
        <v>12.22</v>
      </c>
      <c r="Y98" s="9">
        <v>98</v>
      </c>
      <c r="Z98" s="10">
        <v>42524.950127314813</v>
      </c>
      <c r="AA98" s="14">
        <f t="shared" si="8"/>
        <v>3087.1441787992403</v>
      </c>
      <c r="AB98" s="11">
        <f t="shared" si="9"/>
        <v>464.69999999999891</v>
      </c>
      <c r="AC98" s="9">
        <v>464.69999999999902</v>
      </c>
      <c r="AD98" s="12">
        <v>94</v>
      </c>
      <c r="AE98" s="13">
        <f t="shared" si="11"/>
        <v>0.86088711851911404</v>
      </c>
      <c r="AF98" s="13">
        <f t="shared" si="12"/>
        <v>0.77657768886552336</v>
      </c>
      <c r="AG98" s="15">
        <f t="shared" si="10"/>
        <v>1.0458835154357062</v>
      </c>
      <c r="AH98" s="11" t="s">
        <v>40</v>
      </c>
    </row>
    <row r="99" spans="1:34" ht="14.25">
      <c r="A99" s="9" t="s">
        <v>133</v>
      </c>
      <c r="B99" s="9" t="s">
        <v>34</v>
      </c>
      <c r="C99" s="9">
        <v>2.9980000000000002</v>
      </c>
      <c r="D99" s="9">
        <v>15.112</v>
      </c>
      <c r="E99" s="9">
        <v>50.634</v>
      </c>
      <c r="F99" s="9">
        <v>0.38200000000000001</v>
      </c>
      <c r="G99" s="9">
        <v>10.151999999999999</v>
      </c>
      <c r="H99" s="9">
        <v>0.184</v>
      </c>
      <c r="I99" s="9">
        <v>8.2370000000000001</v>
      </c>
      <c r="J99" s="9">
        <v>7.88</v>
      </c>
      <c r="K99" s="9">
        <v>1.415</v>
      </c>
      <c r="L99" s="9">
        <v>3.6999999999999998E-2</v>
      </c>
      <c r="M99" s="9">
        <v>0.36</v>
      </c>
      <c r="Q99" s="9">
        <v>2.8000000000000001E-2</v>
      </c>
      <c r="R99" s="9">
        <v>97.418999999999997</v>
      </c>
      <c r="S99" s="9">
        <v>11553.8</v>
      </c>
      <c r="T99" s="9">
        <v>-998</v>
      </c>
      <c r="U99" s="9">
        <v>117</v>
      </c>
      <c r="V99" s="9" t="s">
        <v>34</v>
      </c>
      <c r="W99" s="9">
        <v>479.8</v>
      </c>
      <c r="X99" s="9">
        <v>12.176</v>
      </c>
      <c r="Y99" s="9">
        <v>99</v>
      </c>
      <c r="Z99" s="10">
        <v>42524.95171296296</v>
      </c>
      <c r="AA99" s="14">
        <f t="shared" si="8"/>
        <v>2665.1604421288407</v>
      </c>
      <c r="AB99" s="11">
        <f t="shared" si="9"/>
        <v>469.69999999999891</v>
      </c>
      <c r="AC99" s="9">
        <v>469.69999999999902</v>
      </c>
      <c r="AD99" s="12">
        <v>94</v>
      </c>
      <c r="AE99" s="13">
        <f t="shared" si="11"/>
        <v>0.88113563667684303</v>
      </c>
      <c r="AF99" s="13">
        <f t="shared" si="12"/>
        <v>0.78727744237799269</v>
      </c>
      <c r="AG99" s="15">
        <f t="shared" si="10"/>
        <v>1.1027740521972755</v>
      </c>
      <c r="AH99" s="11" t="s">
        <v>40</v>
      </c>
    </row>
    <row r="100" spans="1:34" ht="14.25">
      <c r="A100" s="9" t="s">
        <v>134</v>
      </c>
      <c r="B100" s="9" t="s">
        <v>34</v>
      </c>
      <c r="C100" s="9">
        <v>2.9849999999999999</v>
      </c>
      <c r="D100" s="9">
        <v>14.958</v>
      </c>
      <c r="E100" s="9">
        <v>50.658999999999999</v>
      </c>
      <c r="F100" s="9">
        <v>0.27</v>
      </c>
      <c r="G100" s="9">
        <v>10.337999999999999</v>
      </c>
      <c r="H100" s="9">
        <v>0.17100000000000001</v>
      </c>
      <c r="I100" s="9">
        <v>7.9320000000000004</v>
      </c>
      <c r="J100" s="9">
        <v>7.7569999999999997</v>
      </c>
      <c r="K100" s="9">
        <v>1.4730000000000001</v>
      </c>
      <c r="L100" s="9">
        <v>0.04</v>
      </c>
      <c r="M100" s="9">
        <v>0.438</v>
      </c>
      <c r="Q100" s="9">
        <v>0</v>
      </c>
      <c r="R100" s="9">
        <v>97.022000000000006</v>
      </c>
      <c r="S100" s="9">
        <v>11558.9</v>
      </c>
      <c r="T100" s="9">
        <v>-998</v>
      </c>
      <c r="U100" s="9">
        <v>117</v>
      </c>
      <c r="V100" s="9" t="s">
        <v>34</v>
      </c>
      <c r="W100" s="9">
        <v>484.85</v>
      </c>
      <c r="X100" s="9">
        <v>12.106999999999999</v>
      </c>
      <c r="Y100" s="9">
        <v>100</v>
      </c>
      <c r="Z100" s="10">
        <v>42524.953298611108</v>
      </c>
      <c r="AA100" s="14">
        <f t="shared" ref="AA100:AA133" si="13">M100/(91.224+15.999*2)*91.224*10000</f>
        <v>3242.6118712567559</v>
      </c>
      <c r="AB100" s="11">
        <f t="shared" si="9"/>
        <v>474.79999999999927</v>
      </c>
      <c r="AC100" s="9">
        <v>474.8</v>
      </c>
      <c r="AD100" s="12">
        <v>94</v>
      </c>
      <c r="AE100" s="13">
        <f t="shared" si="11"/>
        <v>0.85342713814521398</v>
      </c>
      <c r="AF100" s="13">
        <f t="shared" si="12"/>
        <v>0.77254021645430715</v>
      </c>
      <c r="AG100" s="15">
        <f t="shared" si="10"/>
        <v>1.0265378698370318</v>
      </c>
      <c r="AH100" s="11" t="s">
        <v>40</v>
      </c>
    </row>
    <row r="101" spans="1:34" ht="14.25">
      <c r="A101" s="9" t="s">
        <v>135</v>
      </c>
      <c r="B101" s="9" t="s">
        <v>34</v>
      </c>
      <c r="C101" s="9">
        <v>3.0659999999999998</v>
      </c>
      <c r="D101" s="9">
        <v>14.919</v>
      </c>
      <c r="E101" s="9">
        <v>50.902000000000001</v>
      </c>
      <c r="F101" s="9">
        <v>0.35799999999999998</v>
      </c>
      <c r="G101" s="9">
        <v>10.249000000000001</v>
      </c>
      <c r="H101" s="9">
        <v>0.14299999999999999</v>
      </c>
      <c r="I101" s="9">
        <v>8.1029999999999998</v>
      </c>
      <c r="J101" s="9">
        <v>7.95</v>
      </c>
      <c r="K101" s="9">
        <v>1.518</v>
      </c>
      <c r="L101" s="9">
        <v>4.1000000000000002E-2</v>
      </c>
      <c r="M101" s="9">
        <v>0.38</v>
      </c>
      <c r="Q101" s="9">
        <v>0</v>
      </c>
      <c r="R101" s="9">
        <v>97.629000000000005</v>
      </c>
      <c r="S101" s="9">
        <v>11563.9</v>
      </c>
      <c r="T101" s="9">
        <v>-998</v>
      </c>
      <c r="U101" s="9">
        <v>117</v>
      </c>
      <c r="V101" s="9" t="s">
        <v>34</v>
      </c>
      <c r="W101" s="9">
        <v>489.9</v>
      </c>
      <c r="X101" s="9">
        <v>12.179</v>
      </c>
      <c r="Y101" s="9">
        <v>101</v>
      </c>
      <c r="Z101" s="10">
        <v>42524.954918981479</v>
      </c>
      <c r="AA101" s="14">
        <f t="shared" si="13"/>
        <v>2813.2249111359988</v>
      </c>
      <c r="AB101" s="11">
        <f t="shared" si="9"/>
        <v>479.79999999999927</v>
      </c>
      <c r="AC101" s="9">
        <v>479.8</v>
      </c>
      <c r="AD101" s="12">
        <v>94</v>
      </c>
      <c r="AE101" s="13">
        <f t="shared" si="11"/>
        <v>0.87403089346360474</v>
      </c>
      <c r="AF101" s="13">
        <f t="shared" si="12"/>
        <v>0.78356609590150628</v>
      </c>
      <c r="AG101" s="15">
        <f t="shared" si="10"/>
        <v>1.0820094382175514</v>
      </c>
      <c r="AH101" s="11" t="s">
        <v>40</v>
      </c>
    </row>
    <row r="102" spans="1:34" ht="14.25">
      <c r="A102" s="9" t="s">
        <v>136</v>
      </c>
      <c r="B102" s="9" t="s">
        <v>34</v>
      </c>
      <c r="C102" s="9">
        <v>2.948</v>
      </c>
      <c r="D102" s="9">
        <v>15.04</v>
      </c>
      <c r="E102" s="9">
        <v>50.701000000000001</v>
      </c>
      <c r="F102" s="9">
        <v>0.34599999999999997</v>
      </c>
      <c r="G102" s="9">
        <v>10.319000000000001</v>
      </c>
      <c r="H102" s="9">
        <v>0.24</v>
      </c>
      <c r="I102" s="9">
        <v>8.2059999999999995</v>
      </c>
      <c r="J102" s="9">
        <v>7.883</v>
      </c>
      <c r="K102" s="9">
        <v>1.4810000000000001</v>
      </c>
      <c r="L102" s="9">
        <v>4.7E-2</v>
      </c>
      <c r="M102" s="9">
        <v>0.39100000000000001</v>
      </c>
      <c r="Q102" s="9">
        <v>0</v>
      </c>
      <c r="R102" s="9">
        <v>97.603999999999999</v>
      </c>
      <c r="S102" s="9">
        <v>11569</v>
      </c>
      <c r="T102" s="9">
        <v>-998</v>
      </c>
      <c r="U102" s="9">
        <v>117</v>
      </c>
      <c r="V102" s="9" t="s">
        <v>34</v>
      </c>
      <c r="W102" s="9">
        <v>494.95</v>
      </c>
      <c r="X102" s="9">
        <v>12.202999999999999</v>
      </c>
      <c r="Y102" s="9">
        <v>102</v>
      </c>
      <c r="Z102" s="10">
        <v>42524.956493055557</v>
      </c>
      <c r="AA102" s="14">
        <f t="shared" si="13"/>
        <v>2894.6603690899351</v>
      </c>
      <c r="AB102" s="11">
        <f t="shared" si="9"/>
        <v>484.89999999999964</v>
      </c>
      <c r="AC102" s="9">
        <v>484.89999999999901</v>
      </c>
      <c r="AD102" s="12">
        <v>94</v>
      </c>
      <c r="AE102" s="13">
        <f t="shared" si="11"/>
        <v>0.87012328469632383</v>
      </c>
      <c r="AF102" s="13">
        <f t="shared" si="12"/>
        <v>0.78150509844093918</v>
      </c>
      <c r="AG102" s="15">
        <f t="shared" si="10"/>
        <v>1.0709756065009908</v>
      </c>
      <c r="AH102" s="11" t="s">
        <v>40</v>
      </c>
    </row>
    <row r="103" spans="1:34" ht="14.25">
      <c r="A103" s="9" t="s">
        <v>137</v>
      </c>
      <c r="B103" s="9" t="s">
        <v>34</v>
      </c>
      <c r="C103" s="9">
        <v>3.0830000000000002</v>
      </c>
      <c r="D103" s="9">
        <v>15.138999999999999</v>
      </c>
      <c r="E103" s="9">
        <v>50.865000000000002</v>
      </c>
      <c r="F103" s="9">
        <v>0.316</v>
      </c>
      <c r="G103" s="9">
        <v>10.420999999999999</v>
      </c>
      <c r="H103" s="9">
        <v>0.153</v>
      </c>
      <c r="I103" s="9">
        <v>8.0609999999999999</v>
      </c>
      <c r="J103" s="9">
        <v>7.92</v>
      </c>
      <c r="K103" s="9">
        <v>1.464</v>
      </c>
      <c r="L103" s="9">
        <v>0.04</v>
      </c>
      <c r="M103" s="9">
        <v>0.33100000000000002</v>
      </c>
      <c r="Q103" s="9">
        <v>0</v>
      </c>
      <c r="R103" s="9">
        <v>97.793000000000006</v>
      </c>
      <c r="S103" s="9">
        <v>11574</v>
      </c>
      <c r="T103" s="9">
        <v>-998</v>
      </c>
      <c r="U103" s="9">
        <v>117</v>
      </c>
      <c r="V103" s="9" t="s">
        <v>34</v>
      </c>
      <c r="W103" s="9">
        <v>500</v>
      </c>
      <c r="X103" s="9">
        <v>12.186</v>
      </c>
      <c r="Y103" s="9">
        <v>103</v>
      </c>
      <c r="Z103" s="10">
        <v>42524.958113425928</v>
      </c>
      <c r="AA103" s="14">
        <f t="shared" si="13"/>
        <v>2450.4669620684617</v>
      </c>
      <c r="AB103" s="11">
        <f t="shared" ref="AB103:AB133" si="14">S103-S$6</f>
        <v>489.89999999999964</v>
      </c>
      <c r="AC103" s="9">
        <v>489.89999999999901</v>
      </c>
      <c r="AD103" s="12">
        <v>94</v>
      </c>
      <c r="AE103" s="13">
        <f t="shared" si="11"/>
        <v>0.89143751433603846</v>
      </c>
      <c r="AF103" s="13">
        <f t="shared" si="12"/>
        <v>0.79257692697119042</v>
      </c>
      <c r="AG103" s="15">
        <f t="shared" si="10"/>
        <v>1.1346857614658965</v>
      </c>
      <c r="AH103" s="11" t="s">
        <v>40</v>
      </c>
    </row>
    <row r="104" spans="1:34" ht="14.25">
      <c r="A104" s="9" t="s">
        <v>138</v>
      </c>
      <c r="B104" s="9" t="s">
        <v>139</v>
      </c>
      <c r="C104" s="9">
        <v>2.5139999999999998</v>
      </c>
      <c r="D104" s="9">
        <v>15.167999999999999</v>
      </c>
      <c r="E104" s="9">
        <v>51.405999999999999</v>
      </c>
      <c r="F104" s="9">
        <v>0.314</v>
      </c>
      <c r="G104" s="9">
        <v>10.221</v>
      </c>
      <c r="H104" s="9">
        <v>0.186</v>
      </c>
      <c r="I104" s="9">
        <v>8.2870000000000008</v>
      </c>
      <c r="J104" s="9">
        <v>7.8959999999999999</v>
      </c>
      <c r="K104" s="9">
        <v>1.4359999999999999</v>
      </c>
      <c r="L104" s="9">
        <v>4.2000000000000003E-2</v>
      </c>
      <c r="M104" s="9">
        <v>0.376</v>
      </c>
      <c r="Q104" s="9">
        <v>0</v>
      </c>
      <c r="R104" s="9">
        <v>97.843999999999994</v>
      </c>
      <c r="S104" s="9">
        <v>11582</v>
      </c>
      <c r="T104" s="9">
        <v>-997</v>
      </c>
      <c r="U104" s="9">
        <v>122</v>
      </c>
      <c r="V104" s="9" t="s">
        <v>139</v>
      </c>
      <c r="W104" s="9">
        <v>0</v>
      </c>
      <c r="X104" s="9">
        <v>12.22</v>
      </c>
      <c r="Y104" s="9">
        <v>7</v>
      </c>
      <c r="Z104" s="10">
        <v>42524.959837962961</v>
      </c>
      <c r="AA104" s="14">
        <f t="shared" si="13"/>
        <v>2783.6120173345666</v>
      </c>
      <c r="AB104" s="11">
        <f t="shared" si="14"/>
        <v>497.89999999999964</v>
      </c>
      <c r="AC104" s="9">
        <v>497.89999999999901</v>
      </c>
      <c r="AD104" s="12">
        <v>94</v>
      </c>
      <c r="AE104" s="13">
        <f t="shared" si="11"/>
        <v>0.87545184210625249</v>
      </c>
      <c r="AF104" s="13">
        <f t="shared" si="12"/>
        <v>0.78431206923389907</v>
      </c>
      <c r="AG104" s="15">
        <f t="shared" si="10"/>
        <v>1.0860878271276004</v>
      </c>
      <c r="AH104" s="11" t="s">
        <v>40</v>
      </c>
    </row>
    <row r="105" spans="1:34" ht="14.25">
      <c r="A105" s="9" t="s">
        <v>140</v>
      </c>
      <c r="B105" s="9" t="s">
        <v>139</v>
      </c>
      <c r="C105" s="9">
        <v>2.6669999999999998</v>
      </c>
      <c r="D105" s="9">
        <v>15.191000000000001</v>
      </c>
      <c r="E105" s="9">
        <v>51.545999999999999</v>
      </c>
      <c r="F105" s="9">
        <v>0.32400000000000001</v>
      </c>
      <c r="G105" s="9">
        <v>10.156000000000001</v>
      </c>
      <c r="H105" s="9">
        <v>0.16400000000000001</v>
      </c>
      <c r="I105" s="9">
        <v>8.2620000000000005</v>
      </c>
      <c r="J105" s="9">
        <v>7.931</v>
      </c>
      <c r="K105" s="9">
        <v>1.4530000000000001</v>
      </c>
      <c r="L105" s="9">
        <v>4.2000000000000003E-2</v>
      </c>
      <c r="M105" s="9">
        <v>0.33700000000000002</v>
      </c>
      <c r="Q105" s="9">
        <v>0</v>
      </c>
      <c r="R105" s="9">
        <v>98.072000000000003</v>
      </c>
      <c r="S105" s="9">
        <v>11599.2</v>
      </c>
      <c r="T105" s="9">
        <v>-997</v>
      </c>
      <c r="U105" s="9">
        <v>122</v>
      </c>
      <c r="V105" s="9" t="s">
        <v>139</v>
      </c>
      <c r="W105" s="9">
        <v>17.239999999999998</v>
      </c>
      <c r="X105" s="9">
        <v>12.228999999999999</v>
      </c>
      <c r="Y105" s="9">
        <v>8</v>
      </c>
      <c r="Z105" s="10">
        <v>42524.966736111113</v>
      </c>
      <c r="AA105" s="14">
        <f t="shared" si="13"/>
        <v>2494.8863027706093</v>
      </c>
      <c r="AB105" s="11">
        <f t="shared" si="14"/>
        <v>515.10000000000036</v>
      </c>
      <c r="AC105" s="9">
        <v>515.1</v>
      </c>
      <c r="AD105" s="12">
        <v>94</v>
      </c>
      <c r="AE105" s="13">
        <f t="shared" si="11"/>
        <v>0.88930609137206706</v>
      </c>
      <c r="AF105" s="13">
        <f t="shared" si="12"/>
        <v>0.79148841638529666</v>
      </c>
      <c r="AG105" s="15">
        <f t="shared" si="10"/>
        <v>1.1278932717306231</v>
      </c>
      <c r="AH105" s="11" t="s">
        <v>40</v>
      </c>
    </row>
    <row r="106" spans="1:34" ht="14.25">
      <c r="A106" s="9" t="s">
        <v>141</v>
      </c>
      <c r="B106" s="9" t="s">
        <v>139</v>
      </c>
      <c r="C106" s="9">
        <v>2.63</v>
      </c>
      <c r="D106" s="9">
        <v>15.199</v>
      </c>
      <c r="E106" s="9">
        <v>51.39</v>
      </c>
      <c r="F106" s="9">
        <v>0.33300000000000002</v>
      </c>
      <c r="G106" s="9">
        <v>10.298999999999999</v>
      </c>
      <c r="H106" s="9">
        <v>0.16800000000000001</v>
      </c>
      <c r="I106" s="9">
        <v>8.282</v>
      </c>
      <c r="J106" s="9">
        <v>7.907</v>
      </c>
      <c r="K106" s="9">
        <v>1.478</v>
      </c>
      <c r="L106" s="9">
        <v>4.2999999999999997E-2</v>
      </c>
      <c r="M106" s="9">
        <v>0.307</v>
      </c>
      <c r="Q106" s="9">
        <v>0</v>
      </c>
      <c r="R106" s="9">
        <v>98.036000000000001</v>
      </c>
      <c r="S106" s="9">
        <v>11616.5</v>
      </c>
      <c r="T106" s="9">
        <v>-997</v>
      </c>
      <c r="U106" s="9">
        <v>122</v>
      </c>
      <c r="V106" s="9" t="s">
        <v>139</v>
      </c>
      <c r="W106" s="9">
        <v>34.479999999999997</v>
      </c>
      <c r="X106" s="9">
        <v>12.231999999999999</v>
      </c>
      <c r="Y106" s="9">
        <v>9</v>
      </c>
      <c r="Z106" s="10">
        <v>42524.973437499997</v>
      </c>
      <c r="AA106" s="14">
        <f t="shared" si="13"/>
        <v>2272.7895992598728</v>
      </c>
      <c r="AB106" s="11">
        <f t="shared" si="14"/>
        <v>532.39999999999964</v>
      </c>
      <c r="AC106" s="9">
        <v>532.39999999999895</v>
      </c>
      <c r="AD106" s="12">
        <v>94</v>
      </c>
      <c r="AE106" s="13">
        <f t="shared" si="11"/>
        <v>0.89996320619192438</v>
      </c>
      <c r="AF106" s="13">
        <f t="shared" si="12"/>
        <v>0.79688974247584499</v>
      </c>
      <c r="AG106" s="15">
        <f t="shared" si="10"/>
        <v>1.1629610414266216</v>
      </c>
      <c r="AH106" s="11" t="s">
        <v>40</v>
      </c>
    </row>
    <row r="107" spans="1:34" ht="14.25">
      <c r="A107" s="9" t="s">
        <v>142</v>
      </c>
      <c r="B107" s="9" t="s">
        <v>139</v>
      </c>
      <c r="C107" s="9">
        <v>2.597</v>
      </c>
      <c r="D107" s="9">
        <v>15.182</v>
      </c>
      <c r="E107" s="9">
        <v>51.482999999999997</v>
      </c>
      <c r="F107" s="9">
        <v>0.32600000000000001</v>
      </c>
      <c r="G107" s="9">
        <v>10.179</v>
      </c>
      <c r="H107" s="9">
        <v>0.16500000000000001</v>
      </c>
      <c r="I107" s="9">
        <v>8.2989999999999995</v>
      </c>
      <c r="J107" s="9">
        <v>7.9539999999999997</v>
      </c>
      <c r="K107" s="9">
        <v>1.462</v>
      </c>
      <c r="L107" s="9">
        <v>4.2999999999999997E-2</v>
      </c>
      <c r="M107" s="9">
        <v>0.28299999999999997</v>
      </c>
      <c r="Q107" s="9">
        <v>0</v>
      </c>
      <c r="R107" s="9">
        <v>97.974000000000004</v>
      </c>
      <c r="S107" s="9">
        <v>11633.7</v>
      </c>
      <c r="T107" s="9">
        <v>-997</v>
      </c>
      <c r="U107" s="9">
        <v>122</v>
      </c>
      <c r="V107" s="9" t="s">
        <v>139</v>
      </c>
      <c r="W107" s="9">
        <v>51.72</v>
      </c>
      <c r="X107" s="9">
        <v>12.212999999999999</v>
      </c>
      <c r="Y107" s="9">
        <v>10</v>
      </c>
      <c r="Z107" s="10">
        <v>42524.980138888888</v>
      </c>
      <c r="AA107" s="14">
        <f t="shared" si="13"/>
        <v>2095.112236451283</v>
      </c>
      <c r="AB107" s="11">
        <f t="shared" si="14"/>
        <v>549.60000000000036</v>
      </c>
      <c r="AC107" s="9">
        <v>549.6</v>
      </c>
      <c r="AD107" s="12">
        <v>94</v>
      </c>
      <c r="AE107" s="13">
        <f t="shared" si="11"/>
        <v>0.9084888980478103</v>
      </c>
      <c r="AF107" s="13">
        <f t="shared" si="12"/>
        <v>0.80113688117153292</v>
      </c>
      <c r="AG107" s="15">
        <f t="shared" si="10"/>
        <v>1.1932285161391085</v>
      </c>
      <c r="AH107" s="11" t="s">
        <v>40</v>
      </c>
    </row>
    <row r="108" spans="1:34" ht="14.25">
      <c r="A108" s="9" t="s">
        <v>143</v>
      </c>
      <c r="B108" s="9" t="s">
        <v>139</v>
      </c>
      <c r="C108" s="9">
        <v>2.6139999999999999</v>
      </c>
      <c r="D108" s="9">
        <v>15.154</v>
      </c>
      <c r="E108" s="9">
        <v>51.484000000000002</v>
      </c>
      <c r="F108" s="9">
        <v>0.32300000000000001</v>
      </c>
      <c r="G108" s="9">
        <v>10.263</v>
      </c>
      <c r="H108" s="9">
        <v>0.16</v>
      </c>
      <c r="I108" s="9">
        <v>8.2479999999999993</v>
      </c>
      <c r="J108" s="9">
        <v>7.9290000000000003</v>
      </c>
      <c r="K108" s="9">
        <v>1.4790000000000001</v>
      </c>
      <c r="L108" s="9">
        <v>4.1000000000000002E-2</v>
      </c>
      <c r="M108" s="9">
        <v>0.26500000000000001</v>
      </c>
      <c r="Q108" s="9">
        <v>0</v>
      </c>
      <c r="R108" s="9">
        <v>97.96</v>
      </c>
      <c r="S108" s="9">
        <v>11651</v>
      </c>
      <c r="T108" s="9">
        <v>-997</v>
      </c>
      <c r="U108" s="9">
        <v>122</v>
      </c>
      <c r="V108" s="9" t="s">
        <v>139</v>
      </c>
      <c r="W108" s="9">
        <v>68.97</v>
      </c>
      <c r="X108" s="9">
        <v>12.207000000000001</v>
      </c>
      <c r="Y108" s="9">
        <v>11</v>
      </c>
      <c r="Z108" s="10">
        <v>42524.986840277779</v>
      </c>
      <c r="AA108" s="14">
        <f t="shared" si="13"/>
        <v>1961.8542143448412</v>
      </c>
      <c r="AB108" s="11">
        <f t="shared" si="14"/>
        <v>566.89999999999964</v>
      </c>
      <c r="AC108" s="9">
        <v>566.89999999999895</v>
      </c>
      <c r="AD108" s="12">
        <v>94</v>
      </c>
      <c r="AE108" s="13">
        <f t="shared" si="11"/>
        <v>0.91488316693972471</v>
      </c>
      <c r="AF108" s="13">
        <f t="shared" si="12"/>
        <v>0.80427937021862506</v>
      </c>
      <c r="AG108" s="15">
        <f t="shared" si="10"/>
        <v>1.2174532288678594</v>
      </c>
      <c r="AH108" s="11" t="s">
        <v>40</v>
      </c>
    </row>
    <row r="109" spans="1:34" ht="14.25">
      <c r="A109" s="9" t="s">
        <v>144</v>
      </c>
      <c r="B109" s="9" t="s">
        <v>139</v>
      </c>
      <c r="C109" s="9">
        <v>2.677</v>
      </c>
      <c r="D109" s="9">
        <v>15.196</v>
      </c>
      <c r="E109" s="9">
        <v>51.406999999999996</v>
      </c>
      <c r="F109" s="9">
        <v>0.317</v>
      </c>
      <c r="G109" s="9">
        <v>10.25</v>
      </c>
      <c r="H109" s="9">
        <v>0.16800000000000001</v>
      </c>
      <c r="I109" s="9">
        <v>8.2430000000000003</v>
      </c>
      <c r="J109" s="9">
        <v>7.915</v>
      </c>
      <c r="K109" s="9">
        <v>1.458</v>
      </c>
      <c r="L109" s="9">
        <v>4.5999999999999999E-2</v>
      </c>
      <c r="M109" s="9">
        <v>0.23799999999999999</v>
      </c>
      <c r="Q109" s="9">
        <v>0</v>
      </c>
      <c r="R109" s="9">
        <v>97.915999999999997</v>
      </c>
      <c r="S109" s="9">
        <v>11668.2</v>
      </c>
      <c r="T109" s="9">
        <v>-997</v>
      </c>
      <c r="U109" s="9">
        <v>122</v>
      </c>
      <c r="V109" s="9" t="s">
        <v>139</v>
      </c>
      <c r="W109" s="9">
        <v>86.21</v>
      </c>
      <c r="X109" s="9">
        <v>12.195</v>
      </c>
      <c r="Y109" s="9">
        <v>12</v>
      </c>
      <c r="Z109" s="10">
        <v>42524.99355324074</v>
      </c>
      <c r="AA109" s="14">
        <f t="shared" si="13"/>
        <v>1761.9671811851779</v>
      </c>
      <c r="AB109" s="11">
        <f t="shared" si="14"/>
        <v>584.10000000000036</v>
      </c>
      <c r="AC109" s="9">
        <v>584.1</v>
      </c>
      <c r="AD109" s="12">
        <v>94</v>
      </c>
      <c r="AE109" s="13">
        <f t="shared" si="11"/>
        <v>0.92447457027759627</v>
      </c>
      <c r="AF109" s="13">
        <f t="shared" si="12"/>
        <v>0.80892462178787938</v>
      </c>
      <c r="AG109" s="15">
        <f t="shared" si="10"/>
        <v>1.2567127781388698</v>
      </c>
      <c r="AH109" s="11" t="s">
        <v>40</v>
      </c>
    </row>
    <row r="110" spans="1:34" ht="14.25">
      <c r="A110" s="9" t="s">
        <v>145</v>
      </c>
      <c r="B110" s="9" t="s">
        <v>139</v>
      </c>
      <c r="C110" s="9">
        <v>2.681</v>
      </c>
      <c r="D110" s="9">
        <v>15.207000000000001</v>
      </c>
      <c r="E110" s="9">
        <v>51.465000000000003</v>
      </c>
      <c r="F110" s="9">
        <v>0.34100000000000003</v>
      </c>
      <c r="G110" s="9">
        <v>10.243</v>
      </c>
      <c r="H110" s="9">
        <v>0.14699999999999999</v>
      </c>
      <c r="I110" s="9">
        <v>8.24</v>
      </c>
      <c r="J110" s="9">
        <v>7.9160000000000004</v>
      </c>
      <c r="K110" s="9">
        <v>1.4790000000000001</v>
      </c>
      <c r="L110" s="9">
        <v>0.04</v>
      </c>
      <c r="M110" s="9">
        <v>0.22800000000000001</v>
      </c>
      <c r="Q110" s="9">
        <v>0</v>
      </c>
      <c r="R110" s="9">
        <v>97.986000000000004</v>
      </c>
      <c r="S110" s="9">
        <v>11685.5</v>
      </c>
      <c r="T110" s="9">
        <v>-997</v>
      </c>
      <c r="U110" s="9">
        <v>122</v>
      </c>
      <c r="V110" s="9" t="s">
        <v>139</v>
      </c>
      <c r="W110" s="9">
        <v>103.45</v>
      </c>
      <c r="X110" s="9">
        <v>12.2</v>
      </c>
      <c r="Y110" s="9">
        <v>13</v>
      </c>
      <c r="Z110" s="10">
        <v>42525.000243055554</v>
      </c>
      <c r="AA110" s="14">
        <f t="shared" si="13"/>
        <v>1687.9349466815991</v>
      </c>
      <c r="AB110" s="11">
        <f t="shared" si="14"/>
        <v>601.39999999999964</v>
      </c>
      <c r="AC110" s="9">
        <v>601.39999999999895</v>
      </c>
      <c r="AD110" s="12">
        <v>94</v>
      </c>
      <c r="AE110" s="13">
        <f t="shared" si="11"/>
        <v>0.92802694188421542</v>
      </c>
      <c r="AF110" s="13">
        <f t="shared" si="12"/>
        <v>0.81062433232785258</v>
      </c>
      <c r="AG110" s="15">
        <f t="shared" si="10"/>
        <v>1.272289091375177</v>
      </c>
      <c r="AH110" s="11" t="s">
        <v>40</v>
      </c>
    </row>
    <row r="111" spans="1:34" ht="14.25">
      <c r="A111" s="9" t="s">
        <v>146</v>
      </c>
      <c r="B111" s="9" t="s">
        <v>139</v>
      </c>
      <c r="C111" s="9">
        <v>2.6309999999999998</v>
      </c>
      <c r="D111" s="9">
        <v>15.106999999999999</v>
      </c>
      <c r="E111" s="9">
        <v>51.405999999999999</v>
      </c>
      <c r="F111" s="9">
        <v>0.315</v>
      </c>
      <c r="G111" s="9">
        <v>10.252000000000001</v>
      </c>
      <c r="H111" s="9">
        <v>0.155</v>
      </c>
      <c r="I111" s="9">
        <v>8.2080000000000002</v>
      </c>
      <c r="J111" s="9">
        <v>7.9560000000000004</v>
      </c>
      <c r="K111" s="9">
        <v>1.4790000000000001</v>
      </c>
      <c r="L111" s="9">
        <v>4.1000000000000002E-2</v>
      </c>
      <c r="M111" s="9">
        <v>0.20399999999999999</v>
      </c>
      <c r="Q111" s="9">
        <v>0</v>
      </c>
      <c r="R111" s="9">
        <v>97.751999999999995</v>
      </c>
      <c r="S111" s="9">
        <v>11702.7</v>
      </c>
      <c r="T111" s="9">
        <v>-997</v>
      </c>
      <c r="U111" s="9">
        <v>122</v>
      </c>
      <c r="V111" s="9" t="s">
        <v>139</v>
      </c>
      <c r="W111" s="9">
        <v>120.69</v>
      </c>
      <c r="X111" s="9">
        <v>12.166</v>
      </c>
      <c r="Y111" s="9">
        <v>14</v>
      </c>
      <c r="Z111" s="10">
        <v>42525.006944444445</v>
      </c>
      <c r="AA111" s="14">
        <f t="shared" si="13"/>
        <v>1510.2575838730095</v>
      </c>
      <c r="AB111" s="11">
        <f t="shared" si="14"/>
        <v>618.60000000000036</v>
      </c>
      <c r="AC111" s="9">
        <v>618.6</v>
      </c>
      <c r="AD111" s="12">
        <v>94</v>
      </c>
      <c r="AE111" s="13">
        <f t="shared" si="11"/>
        <v>0.93655263374010134</v>
      </c>
      <c r="AF111" s="13">
        <f t="shared" si="12"/>
        <v>0.81465812336336907</v>
      </c>
      <c r="AG111" s="15">
        <f t="shared" si="10"/>
        <v>1.3124209039604529</v>
      </c>
      <c r="AH111" s="11" t="s">
        <v>40</v>
      </c>
    </row>
    <row r="112" spans="1:34" ht="14.25">
      <c r="A112" s="9" t="s">
        <v>147</v>
      </c>
      <c r="B112" s="9" t="s">
        <v>139</v>
      </c>
      <c r="C112" s="9">
        <v>2.6619999999999999</v>
      </c>
      <c r="D112" s="9">
        <v>15.055999999999999</v>
      </c>
      <c r="E112" s="9">
        <v>51.533000000000001</v>
      </c>
      <c r="F112" s="9">
        <v>0.33400000000000002</v>
      </c>
      <c r="G112" s="9">
        <v>10.257999999999999</v>
      </c>
      <c r="H112" s="9">
        <v>0.14099999999999999</v>
      </c>
      <c r="I112" s="9">
        <v>8.27</v>
      </c>
      <c r="J112" s="9">
        <v>7.9589999999999996</v>
      </c>
      <c r="K112" s="9">
        <v>1.4670000000000001</v>
      </c>
      <c r="L112" s="9">
        <v>4.2999999999999997E-2</v>
      </c>
      <c r="M112" s="9">
        <v>0.18099999999999999</v>
      </c>
      <c r="Q112" s="9">
        <v>0</v>
      </c>
      <c r="R112" s="9">
        <v>97.905000000000001</v>
      </c>
      <c r="S112" s="9">
        <v>11719.9</v>
      </c>
      <c r="T112" s="9">
        <v>-997</v>
      </c>
      <c r="U112" s="9">
        <v>122</v>
      </c>
      <c r="V112" s="9" t="s">
        <v>139</v>
      </c>
      <c r="W112" s="9">
        <v>137.93</v>
      </c>
      <c r="X112" s="9">
        <v>12.183999999999999</v>
      </c>
      <c r="Y112" s="9">
        <v>15</v>
      </c>
      <c r="Z112" s="10">
        <v>42525.013645833336</v>
      </c>
      <c r="AA112" s="14">
        <f t="shared" si="13"/>
        <v>1339.9834445147783</v>
      </c>
      <c r="AB112" s="11">
        <f t="shared" si="14"/>
        <v>635.79999999999927</v>
      </c>
      <c r="AC112" s="9">
        <v>635.79999999999905</v>
      </c>
      <c r="AD112" s="12">
        <v>94</v>
      </c>
      <c r="AE112" s="13">
        <f t="shared" si="11"/>
        <v>0.94472308843532526</v>
      </c>
      <c r="AF112" s="13">
        <f t="shared" si="12"/>
        <v>0.81846386732665644</v>
      </c>
      <c r="AG112" s="15">
        <f t="shared" si="10"/>
        <v>1.3553068042272558</v>
      </c>
      <c r="AH112" s="11" t="s">
        <v>40</v>
      </c>
    </row>
    <row r="113" spans="1:34" ht="14.25">
      <c r="A113" s="9" t="s">
        <v>148</v>
      </c>
      <c r="B113" s="9" t="s">
        <v>139</v>
      </c>
      <c r="C113" s="9">
        <v>2.6739999999999999</v>
      </c>
      <c r="D113" s="9">
        <v>15.253</v>
      </c>
      <c r="E113" s="9">
        <v>51.465000000000003</v>
      </c>
      <c r="F113" s="9">
        <v>0.312</v>
      </c>
      <c r="G113" s="9">
        <v>10.29</v>
      </c>
      <c r="H113" s="9">
        <v>0.16600000000000001</v>
      </c>
      <c r="I113" s="9">
        <v>8.36</v>
      </c>
      <c r="J113" s="9">
        <v>7.9720000000000004</v>
      </c>
      <c r="K113" s="9">
        <v>1.4730000000000001</v>
      </c>
      <c r="L113" s="9">
        <v>4.2999999999999997E-2</v>
      </c>
      <c r="M113" s="9">
        <v>0.16700000000000001</v>
      </c>
      <c r="Q113" s="9">
        <v>0</v>
      </c>
      <c r="R113" s="9">
        <v>98.174000000000007</v>
      </c>
      <c r="S113" s="9">
        <v>11737.2</v>
      </c>
      <c r="T113" s="9">
        <v>-997</v>
      </c>
      <c r="U113" s="9">
        <v>122</v>
      </c>
      <c r="V113" s="9" t="s">
        <v>139</v>
      </c>
      <c r="W113" s="9">
        <v>155.16999999999999</v>
      </c>
      <c r="X113" s="9">
        <v>12.223000000000001</v>
      </c>
      <c r="Y113" s="9">
        <v>16</v>
      </c>
      <c r="Z113" s="10">
        <v>42525.02034722222</v>
      </c>
      <c r="AA113" s="14">
        <f t="shared" si="13"/>
        <v>1236.3383162097678</v>
      </c>
      <c r="AB113" s="11">
        <f t="shared" si="14"/>
        <v>653.10000000000036</v>
      </c>
      <c r="AC113" s="9">
        <v>653.1</v>
      </c>
      <c r="AD113" s="12">
        <v>94</v>
      </c>
      <c r="AE113" s="13">
        <f t="shared" si="11"/>
        <v>0.94969640868459204</v>
      </c>
      <c r="AF113" s="13">
        <f t="shared" si="12"/>
        <v>0.82075183796954931</v>
      </c>
      <c r="AG113" s="15">
        <f t="shared" si="10"/>
        <v>1.3840719574915126</v>
      </c>
      <c r="AH113" s="11" t="s">
        <v>40</v>
      </c>
    </row>
    <row r="114" spans="1:34" ht="14.25">
      <c r="A114" s="9" t="s">
        <v>149</v>
      </c>
      <c r="B114" s="9" t="s">
        <v>139</v>
      </c>
      <c r="C114" s="9">
        <v>2.702</v>
      </c>
      <c r="D114" s="9">
        <v>15.241</v>
      </c>
      <c r="E114" s="9">
        <v>51.500999999999998</v>
      </c>
      <c r="F114" s="9">
        <v>0.32800000000000001</v>
      </c>
      <c r="G114" s="9">
        <v>10.291</v>
      </c>
      <c r="H114" s="9">
        <v>0.16200000000000001</v>
      </c>
      <c r="I114" s="9">
        <v>8.3829999999999991</v>
      </c>
      <c r="J114" s="9">
        <v>8.0180000000000007</v>
      </c>
      <c r="K114" s="9">
        <v>1.4610000000000001</v>
      </c>
      <c r="L114" s="9">
        <v>4.9000000000000002E-2</v>
      </c>
      <c r="M114" s="9">
        <v>0.14599999999999999</v>
      </c>
      <c r="Q114" s="9">
        <v>0</v>
      </c>
      <c r="R114" s="9">
        <v>98.28</v>
      </c>
      <c r="S114" s="9">
        <v>11754.4</v>
      </c>
      <c r="T114" s="9">
        <v>-997</v>
      </c>
      <c r="U114" s="9">
        <v>122</v>
      </c>
      <c r="V114" s="9" t="s">
        <v>139</v>
      </c>
      <c r="W114" s="9">
        <v>172.41</v>
      </c>
      <c r="X114" s="9">
        <v>12.233000000000001</v>
      </c>
      <c r="Y114" s="9">
        <v>17</v>
      </c>
      <c r="Z114" s="10">
        <v>42525.027060185188</v>
      </c>
      <c r="AA114" s="14">
        <f t="shared" si="13"/>
        <v>1080.870623752252</v>
      </c>
      <c r="AB114" s="11">
        <f t="shared" si="14"/>
        <v>670.29999999999927</v>
      </c>
      <c r="AC114" s="9">
        <v>670.29999999999905</v>
      </c>
      <c r="AD114" s="12">
        <v>94</v>
      </c>
      <c r="AE114" s="13">
        <f t="shared" si="11"/>
        <v>0.95715638905849221</v>
      </c>
      <c r="AF114" s="13">
        <f t="shared" si="12"/>
        <v>0.82414348928559311</v>
      </c>
      <c r="AG114" s="15">
        <f t="shared" si="10"/>
        <v>1.4320548418862753</v>
      </c>
      <c r="AH114" s="11" t="s">
        <v>40</v>
      </c>
    </row>
    <row r="115" spans="1:34" ht="14.25">
      <c r="A115" s="9" t="s">
        <v>150</v>
      </c>
      <c r="B115" s="9" t="s">
        <v>139</v>
      </c>
      <c r="C115" s="9">
        <v>2.633</v>
      </c>
      <c r="D115" s="9">
        <v>15.166</v>
      </c>
      <c r="E115" s="9">
        <v>51.341999999999999</v>
      </c>
      <c r="F115" s="9">
        <v>0.312</v>
      </c>
      <c r="G115" s="9">
        <v>10.262</v>
      </c>
      <c r="H115" s="9">
        <v>0.161</v>
      </c>
      <c r="I115" s="9">
        <v>8.2490000000000006</v>
      </c>
      <c r="J115" s="9">
        <v>7.9749999999999996</v>
      </c>
      <c r="K115" s="9">
        <v>1.484</v>
      </c>
      <c r="L115" s="9">
        <v>4.8000000000000001E-2</v>
      </c>
      <c r="M115" s="9">
        <v>0.13100000000000001</v>
      </c>
      <c r="Q115" s="9">
        <v>0</v>
      </c>
      <c r="R115" s="9">
        <v>97.763000000000005</v>
      </c>
      <c r="S115" s="9">
        <v>11771.7</v>
      </c>
      <c r="T115" s="9">
        <v>-997</v>
      </c>
      <c r="U115" s="9">
        <v>122</v>
      </c>
      <c r="V115" s="9" t="s">
        <v>139</v>
      </c>
      <c r="W115" s="9">
        <v>189.66</v>
      </c>
      <c r="X115" s="9">
        <v>12.157999999999999</v>
      </c>
      <c r="Y115" s="9">
        <v>18</v>
      </c>
      <c r="Z115" s="10">
        <v>42525.033761574072</v>
      </c>
      <c r="AA115" s="14">
        <f t="shared" si="13"/>
        <v>969.82227199688384</v>
      </c>
      <c r="AB115" s="11">
        <f t="shared" si="14"/>
        <v>687.60000000000036</v>
      </c>
      <c r="AC115" s="9">
        <v>687.6</v>
      </c>
      <c r="AD115" s="12">
        <v>94</v>
      </c>
      <c r="AE115" s="13">
        <f t="shared" si="11"/>
        <v>0.96248494646842087</v>
      </c>
      <c r="AF115" s="13">
        <f t="shared" si="12"/>
        <v>0.82653663587250525</v>
      </c>
      <c r="AG115" s="15">
        <f t="shared" si="10"/>
        <v>1.4708629020537201</v>
      </c>
      <c r="AH115" s="11" t="s">
        <v>40</v>
      </c>
    </row>
    <row r="116" spans="1:34" ht="14.25">
      <c r="A116" s="9" t="s">
        <v>151</v>
      </c>
      <c r="B116" s="9" t="s">
        <v>139</v>
      </c>
      <c r="C116" s="9">
        <v>2.6819999999999999</v>
      </c>
      <c r="D116" s="9">
        <v>15.144</v>
      </c>
      <c r="E116" s="9">
        <v>51.494</v>
      </c>
      <c r="F116" s="9">
        <v>0.313</v>
      </c>
      <c r="G116" s="9">
        <v>10.228</v>
      </c>
      <c r="H116" s="9">
        <v>0.16500000000000001</v>
      </c>
      <c r="I116" s="9">
        <v>8.2029999999999994</v>
      </c>
      <c r="J116" s="9">
        <v>7.8860000000000001</v>
      </c>
      <c r="K116" s="9">
        <v>1.45</v>
      </c>
      <c r="L116" s="9">
        <v>5.3999999999999999E-2</v>
      </c>
      <c r="M116" s="9">
        <v>0.114</v>
      </c>
      <c r="Q116" s="9">
        <v>0</v>
      </c>
      <c r="R116" s="9">
        <v>97.733000000000004</v>
      </c>
      <c r="S116" s="9">
        <v>11788.9</v>
      </c>
      <c r="T116" s="9">
        <v>-997</v>
      </c>
      <c r="U116" s="9">
        <v>122</v>
      </c>
      <c r="V116" s="9" t="s">
        <v>139</v>
      </c>
      <c r="W116" s="9">
        <v>206.9</v>
      </c>
      <c r="X116" s="9">
        <v>12.143000000000001</v>
      </c>
      <c r="Y116" s="9">
        <v>19</v>
      </c>
      <c r="Z116" s="10">
        <v>42525.04047453704</v>
      </c>
      <c r="AA116" s="14">
        <f t="shared" si="13"/>
        <v>843.96747334079953</v>
      </c>
      <c r="AB116" s="11">
        <f t="shared" si="14"/>
        <v>704.79999999999927</v>
      </c>
      <c r="AC116" s="9">
        <v>704.79999999999905</v>
      </c>
      <c r="AD116" s="12">
        <v>94</v>
      </c>
      <c r="AE116" s="13">
        <f t="shared" si="11"/>
        <v>0.9685239781996734</v>
      </c>
      <c r="AF116" s="13">
        <f t="shared" si="12"/>
        <v>0.82921935180112338</v>
      </c>
      <c r="AG116" s="15">
        <f t="shared" si="10"/>
        <v>1.5209882799302763</v>
      </c>
      <c r="AH116" s="11" t="s">
        <v>40</v>
      </c>
    </row>
    <row r="117" spans="1:34" ht="14.25">
      <c r="A117" s="9" t="s">
        <v>152</v>
      </c>
      <c r="B117" s="9" t="s">
        <v>139</v>
      </c>
      <c r="C117" s="9">
        <v>2.633</v>
      </c>
      <c r="D117" s="9">
        <v>15.162000000000001</v>
      </c>
      <c r="E117" s="9">
        <v>51.384999999999998</v>
      </c>
      <c r="F117" s="9">
        <v>0.33100000000000002</v>
      </c>
      <c r="G117" s="9">
        <v>10.212999999999999</v>
      </c>
      <c r="H117" s="9">
        <v>0.17399999999999999</v>
      </c>
      <c r="I117" s="9">
        <v>8.3970000000000002</v>
      </c>
      <c r="J117" s="9">
        <v>7.9809999999999999</v>
      </c>
      <c r="K117" s="9">
        <v>1.4830000000000001</v>
      </c>
      <c r="L117" s="9">
        <v>4.7E-2</v>
      </c>
      <c r="M117" s="9">
        <v>9.4E-2</v>
      </c>
      <c r="Q117" s="9">
        <v>0</v>
      </c>
      <c r="R117" s="9">
        <v>97.900999999999996</v>
      </c>
      <c r="S117" s="9">
        <v>11806.1</v>
      </c>
      <c r="T117" s="9">
        <v>-997</v>
      </c>
      <c r="U117" s="9">
        <v>122</v>
      </c>
      <c r="V117" s="9" t="s">
        <v>139</v>
      </c>
      <c r="W117" s="9">
        <v>224.14</v>
      </c>
      <c r="X117" s="9">
        <v>12.180999999999999</v>
      </c>
      <c r="Y117" s="9">
        <v>20</v>
      </c>
      <c r="Z117" s="10">
        <v>42525.0471875</v>
      </c>
      <c r="AA117" s="14">
        <f t="shared" si="13"/>
        <v>695.90300433364166</v>
      </c>
      <c r="AB117" s="11">
        <f t="shared" si="14"/>
        <v>722</v>
      </c>
      <c r="AC117" s="9">
        <v>722</v>
      </c>
      <c r="AD117" s="12">
        <v>94</v>
      </c>
      <c r="AE117" s="13">
        <f t="shared" si="11"/>
        <v>0.97562872141291168</v>
      </c>
      <c r="AF117" s="13">
        <f t="shared" si="12"/>
        <v>0.83233555759513445</v>
      </c>
      <c r="AG117" s="15">
        <f t="shared" si="10"/>
        <v>1.5918565937513076</v>
      </c>
      <c r="AH117" s="11" t="s">
        <v>40</v>
      </c>
    </row>
    <row r="118" spans="1:34" ht="14.25">
      <c r="A118" s="9" t="s">
        <v>153</v>
      </c>
      <c r="B118" s="9" t="s">
        <v>139</v>
      </c>
      <c r="C118" s="9">
        <v>2.621</v>
      </c>
      <c r="D118" s="9">
        <v>15.266</v>
      </c>
      <c r="E118" s="9">
        <v>51.295000000000002</v>
      </c>
      <c r="F118" s="9">
        <v>0.30499999999999999</v>
      </c>
      <c r="G118" s="9">
        <v>10.307</v>
      </c>
      <c r="H118" s="9">
        <v>0.17499999999999999</v>
      </c>
      <c r="I118" s="9">
        <v>8.3510000000000009</v>
      </c>
      <c r="J118" s="9">
        <v>7.9649999999999999</v>
      </c>
      <c r="K118" s="9">
        <v>1.464</v>
      </c>
      <c r="L118" s="9">
        <v>4.1000000000000002E-2</v>
      </c>
      <c r="M118" s="9">
        <v>8.4000000000000005E-2</v>
      </c>
      <c r="Q118" s="9">
        <v>0</v>
      </c>
      <c r="R118" s="9">
        <v>97.876000000000005</v>
      </c>
      <c r="S118" s="9">
        <v>11823.4</v>
      </c>
      <c r="T118" s="9">
        <v>-997</v>
      </c>
      <c r="U118" s="9">
        <v>122</v>
      </c>
      <c r="V118" s="9" t="s">
        <v>139</v>
      </c>
      <c r="W118" s="9">
        <v>241.38</v>
      </c>
      <c r="X118" s="9">
        <v>12.173999999999999</v>
      </c>
      <c r="Y118" s="9">
        <v>21</v>
      </c>
      <c r="Z118" s="10">
        <v>42525.053900462961</v>
      </c>
      <c r="AA118" s="14">
        <f t="shared" si="13"/>
        <v>621.87076983006284</v>
      </c>
      <c r="AB118" s="11">
        <f t="shared" si="14"/>
        <v>739.29999999999927</v>
      </c>
      <c r="AC118" s="9">
        <v>739.29999999999905</v>
      </c>
      <c r="AD118" s="12">
        <v>94</v>
      </c>
      <c r="AE118" s="13">
        <f t="shared" si="11"/>
        <v>0.97918109301953071</v>
      </c>
      <c r="AF118" s="13">
        <f t="shared" si="12"/>
        <v>0.83387755452057566</v>
      </c>
      <c r="AG118" s="15">
        <f t="shared" si="10"/>
        <v>1.6343023805008265</v>
      </c>
      <c r="AH118" s="11" t="s">
        <v>40</v>
      </c>
    </row>
    <row r="119" spans="1:34" ht="14.25">
      <c r="A119" s="9" t="s">
        <v>154</v>
      </c>
      <c r="B119" s="9" t="s">
        <v>139</v>
      </c>
      <c r="C119" s="9">
        <v>2.673</v>
      </c>
      <c r="D119" s="9">
        <v>15.173999999999999</v>
      </c>
      <c r="E119" s="9">
        <v>51.33</v>
      </c>
      <c r="F119" s="9">
        <v>0.30199999999999999</v>
      </c>
      <c r="G119" s="9">
        <v>10.237</v>
      </c>
      <c r="H119" s="9">
        <v>0.158</v>
      </c>
      <c r="I119" s="9">
        <v>8.2349999999999994</v>
      </c>
      <c r="J119" s="9">
        <v>7.9</v>
      </c>
      <c r="K119" s="9">
        <v>1.4710000000000001</v>
      </c>
      <c r="L119" s="9">
        <v>3.6999999999999998E-2</v>
      </c>
      <c r="M119" s="9">
        <v>7.4999999999999997E-2</v>
      </c>
      <c r="Q119" s="9">
        <v>0</v>
      </c>
      <c r="R119" s="9">
        <v>97.591999999999999</v>
      </c>
      <c r="S119" s="9">
        <v>11840.6</v>
      </c>
      <c r="T119" s="9">
        <v>-997</v>
      </c>
      <c r="U119" s="9">
        <v>122</v>
      </c>
      <c r="V119" s="9" t="s">
        <v>139</v>
      </c>
      <c r="W119" s="9">
        <v>258.62</v>
      </c>
      <c r="X119" s="9">
        <v>12.122</v>
      </c>
      <c r="Y119" s="9">
        <v>22</v>
      </c>
      <c r="Z119" s="10">
        <v>42525.060613425929</v>
      </c>
      <c r="AA119" s="14">
        <f t="shared" si="13"/>
        <v>555.24175877684172</v>
      </c>
      <c r="AB119" s="11">
        <f t="shared" si="14"/>
        <v>756.5</v>
      </c>
      <c r="AC119" s="9">
        <v>756.5</v>
      </c>
      <c r="AD119" s="12">
        <v>94</v>
      </c>
      <c r="AE119" s="13">
        <f t="shared" si="11"/>
        <v>0.98237822746548797</v>
      </c>
      <c r="AF119" s="13">
        <f t="shared" si="12"/>
        <v>0.83525621065024103</v>
      </c>
      <c r="AG119" s="15">
        <f t="shared" si="10"/>
        <v>1.6782975020543398</v>
      </c>
      <c r="AH119" s="11" t="s">
        <v>40</v>
      </c>
    </row>
    <row r="120" spans="1:34" ht="14.25">
      <c r="A120" s="9" t="s">
        <v>155</v>
      </c>
      <c r="B120" s="9" t="s">
        <v>139</v>
      </c>
      <c r="C120" s="9">
        <v>2.63</v>
      </c>
      <c r="D120" s="9">
        <v>15.099</v>
      </c>
      <c r="E120" s="9">
        <v>51.305</v>
      </c>
      <c r="F120" s="9">
        <v>0.32900000000000001</v>
      </c>
      <c r="G120" s="9">
        <v>10.256</v>
      </c>
      <c r="H120" s="9">
        <v>0.16500000000000001</v>
      </c>
      <c r="I120" s="9">
        <v>8.2360000000000007</v>
      </c>
      <c r="J120" s="9">
        <v>7.9290000000000003</v>
      </c>
      <c r="K120" s="9">
        <v>1.4750000000000001</v>
      </c>
      <c r="L120" s="9">
        <v>3.6999999999999998E-2</v>
      </c>
      <c r="M120" s="9">
        <v>6.0999999999999999E-2</v>
      </c>
      <c r="Q120" s="9">
        <v>0</v>
      </c>
      <c r="R120" s="9">
        <v>97.524000000000001</v>
      </c>
      <c r="S120" s="9">
        <v>11857.9</v>
      </c>
      <c r="T120" s="9">
        <v>-997</v>
      </c>
      <c r="U120" s="9">
        <v>122</v>
      </c>
      <c r="V120" s="9" t="s">
        <v>139</v>
      </c>
      <c r="W120" s="9">
        <v>275.86</v>
      </c>
      <c r="X120" s="9">
        <v>12.116</v>
      </c>
      <c r="Y120" s="9">
        <v>23</v>
      </c>
      <c r="Z120" s="10">
        <v>42525.067303240743</v>
      </c>
      <c r="AA120" s="14">
        <f t="shared" si="13"/>
        <v>451.59663047183136</v>
      </c>
      <c r="AB120" s="11">
        <f t="shared" si="14"/>
        <v>773.79999999999927</v>
      </c>
      <c r="AC120" s="9">
        <v>773.79999999999905</v>
      </c>
      <c r="AD120" s="12">
        <v>94</v>
      </c>
      <c r="AE120" s="13">
        <f t="shared" si="11"/>
        <v>0.98735154771475475</v>
      </c>
      <c r="AF120" s="13">
        <f t="shared" si="12"/>
        <v>0.83738363708667685</v>
      </c>
      <c r="AG120" s="15">
        <f t="shared" si="10"/>
        <v>1.7631827885271794</v>
      </c>
      <c r="AH120" s="11" t="s">
        <v>40</v>
      </c>
    </row>
    <row r="121" spans="1:34" ht="14.25">
      <c r="A121" s="9" t="s">
        <v>156</v>
      </c>
      <c r="B121" s="9" t="s">
        <v>139</v>
      </c>
      <c r="C121" s="9">
        <v>2.7120000000000002</v>
      </c>
      <c r="D121" s="9">
        <v>15.148</v>
      </c>
      <c r="E121" s="9">
        <v>51.466999999999999</v>
      </c>
      <c r="F121" s="9">
        <v>0.316</v>
      </c>
      <c r="G121" s="9">
        <v>10.247</v>
      </c>
      <c r="H121" s="9">
        <v>0.17899999999999999</v>
      </c>
      <c r="I121" s="9">
        <v>8.3260000000000005</v>
      </c>
      <c r="J121" s="9">
        <v>7.9980000000000002</v>
      </c>
      <c r="K121" s="9">
        <v>1.4690000000000001</v>
      </c>
      <c r="L121" s="9">
        <v>4.3999999999999997E-2</v>
      </c>
      <c r="M121" s="9">
        <v>4.5999999999999999E-2</v>
      </c>
      <c r="Q121" s="9">
        <v>0</v>
      </c>
      <c r="R121" s="9">
        <v>97.953000000000003</v>
      </c>
      <c r="S121" s="9">
        <v>11875.1</v>
      </c>
      <c r="T121" s="9">
        <v>-997</v>
      </c>
      <c r="U121" s="9">
        <v>122</v>
      </c>
      <c r="V121" s="9" t="s">
        <v>139</v>
      </c>
      <c r="W121" s="9">
        <v>293.10000000000002</v>
      </c>
      <c r="X121" s="9">
        <v>12.169</v>
      </c>
      <c r="Y121" s="9">
        <v>24</v>
      </c>
      <c r="Z121" s="10">
        <v>42525.074016203704</v>
      </c>
      <c r="AA121" s="14">
        <f t="shared" si="13"/>
        <v>340.5482787164629</v>
      </c>
      <c r="AB121" s="11">
        <f t="shared" si="14"/>
        <v>791</v>
      </c>
      <c r="AC121" s="9">
        <v>791</v>
      </c>
      <c r="AD121" s="12">
        <v>94</v>
      </c>
      <c r="AE121" s="13">
        <f t="shared" si="11"/>
        <v>0.99268010512468341</v>
      </c>
      <c r="AF121" s="13">
        <f t="shared" si="12"/>
        <v>0.83963995382034984</v>
      </c>
      <c r="AG121" s="15">
        <f t="shared" si="10"/>
        <v>1.8964103268469907</v>
      </c>
      <c r="AH121" s="11" t="s">
        <v>40</v>
      </c>
    </row>
    <row r="122" spans="1:34" ht="14.25">
      <c r="A122" s="9" t="s">
        <v>157</v>
      </c>
      <c r="B122" s="9" t="s">
        <v>139</v>
      </c>
      <c r="C122" s="9">
        <v>2.6779999999999999</v>
      </c>
      <c r="D122" s="9">
        <v>15.124000000000001</v>
      </c>
      <c r="E122" s="9">
        <v>51.283000000000001</v>
      </c>
      <c r="F122" s="9">
        <v>0.308</v>
      </c>
      <c r="G122" s="9">
        <v>10.315</v>
      </c>
      <c r="H122" s="9">
        <v>0.17599999999999999</v>
      </c>
      <c r="I122" s="9">
        <v>8.2919999999999998</v>
      </c>
      <c r="J122" s="9">
        <v>7.9889999999999999</v>
      </c>
      <c r="K122" s="9">
        <v>1.4570000000000001</v>
      </c>
      <c r="L122" s="9">
        <v>4.5999999999999999E-2</v>
      </c>
      <c r="M122" s="9">
        <v>4.3999999999999997E-2</v>
      </c>
      <c r="Q122" s="9">
        <v>0</v>
      </c>
      <c r="R122" s="9">
        <v>97.712000000000003</v>
      </c>
      <c r="S122" s="9">
        <v>11892.3</v>
      </c>
      <c r="T122" s="9">
        <v>-997</v>
      </c>
      <c r="U122" s="9">
        <v>122</v>
      </c>
      <c r="V122" s="9" t="s">
        <v>139</v>
      </c>
      <c r="W122" s="9">
        <v>310.33999999999997</v>
      </c>
      <c r="X122" s="9">
        <v>12.141999999999999</v>
      </c>
      <c r="Y122" s="9">
        <v>25</v>
      </c>
      <c r="Z122" s="10">
        <v>42525.080740740741</v>
      </c>
      <c r="AA122" s="14">
        <f t="shared" si="13"/>
        <v>325.74183181574722</v>
      </c>
      <c r="AB122" s="11">
        <f t="shared" si="14"/>
        <v>808.19999999999891</v>
      </c>
      <c r="AC122" s="9">
        <v>808.2</v>
      </c>
      <c r="AD122" s="12">
        <v>94</v>
      </c>
      <c r="AE122" s="13">
        <f t="shared" si="11"/>
        <v>0.99339057944600728</v>
      </c>
      <c r="AF122" s="13">
        <f t="shared" si="12"/>
        <v>0.83993899936728922</v>
      </c>
      <c r="AG122" s="15">
        <f t="shared" si="10"/>
        <v>1.920437234027732</v>
      </c>
      <c r="AH122" s="11" t="s">
        <v>40</v>
      </c>
    </row>
    <row r="123" spans="1:34" ht="14.25">
      <c r="A123" s="9" t="s">
        <v>158</v>
      </c>
      <c r="B123" s="9" t="s">
        <v>139</v>
      </c>
      <c r="C123" s="9">
        <v>2.6789999999999998</v>
      </c>
      <c r="D123" s="9">
        <v>15.148999999999999</v>
      </c>
      <c r="E123" s="9">
        <v>51.341000000000001</v>
      </c>
      <c r="F123" s="9">
        <v>0.30199999999999999</v>
      </c>
      <c r="G123" s="9">
        <v>10.231</v>
      </c>
      <c r="H123" s="9">
        <v>0.16600000000000001</v>
      </c>
      <c r="I123" s="9">
        <v>8.32</v>
      </c>
      <c r="J123" s="9">
        <v>7.99</v>
      </c>
      <c r="K123" s="9">
        <v>1.4670000000000001</v>
      </c>
      <c r="L123" s="9">
        <v>4.2999999999999997E-2</v>
      </c>
      <c r="M123" s="9">
        <v>4.4999999999999998E-2</v>
      </c>
      <c r="Q123" s="9">
        <v>0</v>
      </c>
      <c r="R123" s="9">
        <v>97.733999999999995</v>
      </c>
      <c r="S123" s="9">
        <v>11909.6</v>
      </c>
      <c r="T123" s="9">
        <v>-997</v>
      </c>
      <c r="U123" s="9">
        <v>122</v>
      </c>
      <c r="V123" s="9" t="s">
        <v>139</v>
      </c>
      <c r="W123" s="9">
        <v>327.58999999999997</v>
      </c>
      <c r="X123" s="9">
        <v>12.141</v>
      </c>
      <c r="Y123" s="9">
        <v>26</v>
      </c>
      <c r="Z123" s="10">
        <v>42525.087465277778</v>
      </c>
      <c r="AA123" s="14">
        <f t="shared" si="13"/>
        <v>333.14505526610509</v>
      </c>
      <c r="AB123" s="11">
        <f t="shared" si="14"/>
        <v>825.5</v>
      </c>
      <c r="AC123" s="9">
        <v>825.5</v>
      </c>
      <c r="AD123" s="12">
        <v>94</v>
      </c>
      <c r="AE123" s="13">
        <f t="shared" si="11"/>
        <v>0.99303534228534529</v>
      </c>
      <c r="AF123" s="13">
        <f t="shared" si="12"/>
        <v>0.83978952933992668</v>
      </c>
      <c r="AG123" s="15">
        <f t="shared" si="10"/>
        <v>1.9081484671782998</v>
      </c>
      <c r="AH123" s="11" t="s">
        <v>40</v>
      </c>
    </row>
    <row r="124" spans="1:34" ht="14.25">
      <c r="A124" s="9" t="s">
        <v>159</v>
      </c>
      <c r="B124" s="9" t="s">
        <v>139</v>
      </c>
      <c r="C124" s="9">
        <v>2.718</v>
      </c>
      <c r="D124" s="9">
        <v>15.087</v>
      </c>
      <c r="E124" s="9">
        <v>51.418999999999997</v>
      </c>
      <c r="F124" s="9">
        <v>0.32900000000000001</v>
      </c>
      <c r="G124" s="9">
        <v>10.282999999999999</v>
      </c>
      <c r="H124" s="9">
        <v>0.159</v>
      </c>
      <c r="I124" s="9">
        <v>8.3019999999999996</v>
      </c>
      <c r="J124" s="9">
        <v>8.0239999999999991</v>
      </c>
      <c r="K124" s="9">
        <v>1.46</v>
      </c>
      <c r="L124" s="9">
        <v>3.9E-2</v>
      </c>
      <c r="M124" s="9">
        <v>3.4000000000000002E-2</v>
      </c>
      <c r="Q124" s="9">
        <v>0</v>
      </c>
      <c r="R124" s="9">
        <v>97.855999999999995</v>
      </c>
      <c r="S124" s="9">
        <v>11926.8</v>
      </c>
      <c r="T124" s="9">
        <v>-997</v>
      </c>
      <c r="U124" s="9">
        <v>122</v>
      </c>
      <c r="V124" s="9" t="s">
        <v>139</v>
      </c>
      <c r="W124" s="9">
        <v>344.83</v>
      </c>
      <c r="X124" s="9">
        <v>12.153</v>
      </c>
      <c r="Y124" s="9">
        <v>27</v>
      </c>
      <c r="Z124" s="10">
        <v>42525.094166666669</v>
      </c>
      <c r="AA124" s="14">
        <f t="shared" si="13"/>
        <v>251.70959731216828</v>
      </c>
      <c r="AB124" s="11">
        <f t="shared" si="14"/>
        <v>842.69999999999891</v>
      </c>
      <c r="AC124" s="9">
        <v>842.7</v>
      </c>
      <c r="AD124" s="12">
        <v>94</v>
      </c>
      <c r="AE124" s="13">
        <f t="shared" si="11"/>
        <v>0.99694295105262631</v>
      </c>
      <c r="AF124" s="13">
        <f t="shared" si="12"/>
        <v>0.84142790565740722</v>
      </c>
      <c r="AG124" s="15">
        <f t="shared" si="10"/>
        <v>2.0944096082688843</v>
      </c>
      <c r="AH124" s="11" t="s">
        <v>40</v>
      </c>
    </row>
    <row r="125" spans="1:34" ht="14.25">
      <c r="A125" s="9" t="s">
        <v>160</v>
      </c>
      <c r="B125" s="9" t="s">
        <v>139</v>
      </c>
      <c r="C125" s="9">
        <v>2.6680000000000001</v>
      </c>
      <c r="D125" s="9">
        <v>15.156000000000001</v>
      </c>
      <c r="E125" s="9">
        <v>51.296999999999997</v>
      </c>
      <c r="F125" s="9">
        <v>0.32100000000000001</v>
      </c>
      <c r="G125" s="9">
        <v>10.332000000000001</v>
      </c>
      <c r="H125" s="9">
        <v>0.14399999999999999</v>
      </c>
      <c r="I125" s="9">
        <v>8.2720000000000002</v>
      </c>
      <c r="J125" s="9">
        <v>7.9710000000000001</v>
      </c>
      <c r="K125" s="9">
        <v>1.4810000000000001</v>
      </c>
      <c r="L125" s="9">
        <v>0.04</v>
      </c>
      <c r="M125" s="9">
        <v>3.5999999999999997E-2</v>
      </c>
      <c r="Q125" s="9">
        <v>0</v>
      </c>
      <c r="R125" s="9">
        <v>97.718000000000004</v>
      </c>
      <c r="S125" s="9">
        <v>11944.1</v>
      </c>
      <c r="T125" s="9">
        <v>-997</v>
      </c>
      <c r="U125" s="9">
        <v>122</v>
      </c>
      <c r="V125" s="9" t="s">
        <v>139</v>
      </c>
      <c r="W125" s="9">
        <v>362.07</v>
      </c>
      <c r="X125" s="9">
        <v>12.138</v>
      </c>
      <c r="Y125" s="9">
        <v>28</v>
      </c>
      <c r="Z125" s="10">
        <v>42525.10087962963</v>
      </c>
      <c r="AA125" s="14">
        <f t="shared" si="13"/>
        <v>266.51604421288403</v>
      </c>
      <c r="AB125" s="11">
        <f t="shared" si="14"/>
        <v>860</v>
      </c>
      <c r="AC125" s="9">
        <v>860</v>
      </c>
      <c r="AD125" s="12">
        <v>94</v>
      </c>
      <c r="AE125" s="13">
        <f t="shared" si="11"/>
        <v>0.99623247673130255</v>
      </c>
      <c r="AF125" s="13">
        <f t="shared" si="12"/>
        <v>0.84113096627663309</v>
      </c>
      <c r="AG125" s="15">
        <f t="shared" si="10"/>
        <v>2.0484868309885695</v>
      </c>
      <c r="AH125" s="11" t="s">
        <v>40</v>
      </c>
    </row>
    <row r="126" spans="1:34" ht="14.25">
      <c r="A126" s="9" t="s">
        <v>161</v>
      </c>
      <c r="B126" s="9" t="s">
        <v>139</v>
      </c>
      <c r="C126" s="9">
        <v>2.6890000000000001</v>
      </c>
      <c r="D126" s="9">
        <v>15.233000000000001</v>
      </c>
      <c r="E126" s="9">
        <v>51.518999999999998</v>
      </c>
      <c r="F126" s="9">
        <v>0.33600000000000002</v>
      </c>
      <c r="G126" s="9">
        <v>10.275</v>
      </c>
      <c r="H126" s="9">
        <v>0.189</v>
      </c>
      <c r="I126" s="9">
        <v>8.2919999999999998</v>
      </c>
      <c r="J126" s="9">
        <v>8.0039999999999996</v>
      </c>
      <c r="K126" s="9">
        <v>1.48</v>
      </c>
      <c r="L126" s="9">
        <v>4.2000000000000003E-2</v>
      </c>
      <c r="M126" s="9">
        <v>2.9000000000000001E-2</v>
      </c>
      <c r="Q126" s="9">
        <v>0</v>
      </c>
      <c r="R126" s="9">
        <v>98.087000000000003</v>
      </c>
      <c r="S126" s="9">
        <v>11961.3</v>
      </c>
      <c r="T126" s="9">
        <v>-997</v>
      </c>
      <c r="U126" s="9">
        <v>122</v>
      </c>
      <c r="V126" s="9" t="s">
        <v>139</v>
      </c>
      <c r="W126" s="9">
        <v>379.31</v>
      </c>
      <c r="X126" s="9">
        <v>12.180999999999999</v>
      </c>
      <c r="Y126" s="9">
        <v>29</v>
      </c>
      <c r="Z126" s="10">
        <v>42525.107581018521</v>
      </c>
      <c r="AA126" s="14">
        <f t="shared" si="13"/>
        <v>214.69348006037882</v>
      </c>
      <c r="AB126" s="11">
        <f t="shared" si="14"/>
        <v>877.19999999999891</v>
      </c>
      <c r="AC126" s="9">
        <v>877.2</v>
      </c>
      <c r="AD126" s="12">
        <v>94</v>
      </c>
      <c r="AE126" s="13">
        <f t="shared" si="11"/>
        <v>0.99871913685593594</v>
      </c>
      <c r="AF126" s="13">
        <f t="shared" si="12"/>
        <v>0.84216841573518719</v>
      </c>
      <c r="AG126" s="15">
        <f t="shared" si="10"/>
        <v>2.2770487990556272</v>
      </c>
      <c r="AH126" s="11" t="s">
        <v>40</v>
      </c>
    </row>
    <row r="127" spans="1:34" ht="14.25">
      <c r="A127" s="9" t="s">
        <v>162</v>
      </c>
      <c r="B127" s="9" t="s">
        <v>139</v>
      </c>
      <c r="C127" s="9">
        <v>2.6920000000000002</v>
      </c>
      <c r="D127" s="9">
        <v>15.170999999999999</v>
      </c>
      <c r="E127" s="9">
        <v>51.265999999999998</v>
      </c>
      <c r="F127" s="9">
        <v>0.33300000000000002</v>
      </c>
      <c r="G127" s="9">
        <v>10.358000000000001</v>
      </c>
      <c r="H127" s="9">
        <v>0.16400000000000001</v>
      </c>
      <c r="I127" s="9">
        <v>8.3309999999999995</v>
      </c>
      <c r="J127" s="9">
        <v>7.9290000000000003</v>
      </c>
      <c r="K127" s="9">
        <v>1.486</v>
      </c>
      <c r="L127" s="9">
        <v>4.4999999999999998E-2</v>
      </c>
      <c r="M127" s="9">
        <v>1.7999999999999999E-2</v>
      </c>
      <c r="Q127" s="9">
        <v>0</v>
      </c>
      <c r="R127" s="9">
        <v>97.793000000000006</v>
      </c>
      <c r="S127" s="9">
        <v>11978.6</v>
      </c>
      <c r="T127" s="9">
        <v>-997</v>
      </c>
      <c r="U127" s="9">
        <v>122</v>
      </c>
      <c r="V127" s="9" t="s">
        <v>139</v>
      </c>
      <c r="W127" s="9">
        <v>396.55</v>
      </c>
      <c r="X127" s="9">
        <v>12.154</v>
      </c>
      <c r="Y127" s="9">
        <v>30</v>
      </c>
      <c r="Z127" s="10">
        <v>42525.114270833335</v>
      </c>
      <c r="AA127" s="14">
        <f t="shared" si="13"/>
        <v>133.25802210644201</v>
      </c>
      <c r="AB127" s="11">
        <f t="shared" si="14"/>
        <v>894.5</v>
      </c>
      <c r="AC127" s="9">
        <v>894.5</v>
      </c>
      <c r="AD127" s="12">
        <v>94</v>
      </c>
      <c r="AE127" s="13">
        <f t="shared" si="11"/>
        <v>1.002626745623217</v>
      </c>
      <c r="AF127" s="13">
        <f t="shared" si="12"/>
        <v>0.84378831310719071</v>
      </c>
      <c r="AG127" s="15"/>
      <c r="AH127" s="11" t="s">
        <v>40</v>
      </c>
    </row>
    <row r="128" spans="1:34" ht="14.25">
      <c r="A128" s="9" t="s">
        <v>163</v>
      </c>
      <c r="B128" s="9" t="s">
        <v>139</v>
      </c>
      <c r="C128" s="9">
        <v>2.7120000000000002</v>
      </c>
      <c r="D128" s="9">
        <v>15.177</v>
      </c>
      <c r="E128" s="9">
        <v>51.35</v>
      </c>
      <c r="F128" s="9">
        <v>0.33100000000000002</v>
      </c>
      <c r="G128" s="9">
        <v>10.279</v>
      </c>
      <c r="H128" s="9">
        <v>0.159</v>
      </c>
      <c r="I128" s="9">
        <v>8.3539999999999992</v>
      </c>
      <c r="J128" s="9">
        <v>7.9969999999999999</v>
      </c>
      <c r="K128" s="9">
        <v>1.472</v>
      </c>
      <c r="L128" s="9">
        <v>4.8000000000000001E-2</v>
      </c>
      <c r="M128" s="9">
        <v>2.5999999999999999E-2</v>
      </c>
      <c r="Q128" s="9">
        <v>0</v>
      </c>
      <c r="R128" s="9">
        <v>97.906000000000006</v>
      </c>
      <c r="S128" s="9">
        <v>11995.8</v>
      </c>
      <c r="T128" s="9">
        <v>-997</v>
      </c>
      <c r="U128" s="9">
        <v>122</v>
      </c>
      <c r="V128" s="9" t="s">
        <v>139</v>
      </c>
      <c r="W128" s="9">
        <v>413.79</v>
      </c>
      <c r="X128" s="9">
        <v>12.164</v>
      </c>
      <c r="Y128" s="9">
        <v>31</v>
      </c>
      <c r="Z128" s="10">
        <v>42525.12096064815</v>
      </c>
      <c r="AA128" s="14">
        <f t="shared" si="13"/>
        <v>192.48380970930512</v>
      </c>
      <c r="AB128" s="11">
        <f t="shared" si="14"/>
        <v>911.69999999999891</v>
      </c>
      <c r="AC128" s="9">
        <v>911.7</v>
      </c>
      <c r="AD128" s="12">
        <v>94</v>
      </c>
      <c r="AE128" s="13">
        <f t="shared" si="11"/>
        <v>0.99978484833792169</v>
      </c>
      <c r="AF128" s="13">
        <f t="shared" si="12"/>
        <v>0.84261146266490106</v>
      </c>
      <c r="AG128" s="15"/>
      <c r="AH128" s="11" t="s">
        <v>40</v>
      </c>
    </row>
    <row r="129" spans="1:34" ht="14.25">
      <c r="A129" s="9" t="s">
        <v>164</v>
      </c>
      <c r="B129" s="9" t="s">
        <v>139</v>
      </c>
      <c r="C129" s="9">
        <v>2.6880000000000002</v>
      </c>
      <c r="D129" s="9">
        <v>15.173999999999999</v>
      </c>
      <c r="E129" s="9">
        <v>51.558</v>
      </c>
      <c r="F129" s="9">
        <v>0.32300000000000001</v>
      </c>
      <c r="G129" s="9">
        <v>10.351000000000001</v>
      </c>
      <c r="H129" s="9">
        <v>0.14899999999999999</v>
      </c>
      <c r="I129" s="9">
        <v>8.3249999999999993</v>
      </c>
      <c r="J129" s="9">
        <v>8.0150000000000006</v>
      </c>
      <c r="K129" s="9">
        <v>1.5</v>
      </c>
      <c r="L129" s="9">
        <v>4.2000000000000003E-2</v>
      </c>
      <c r="M129" s="9">
        <v>2.3E-2</v>
      </c>
      <c r="Q129" s="9">
        <v>0</v>
      </c>
      <c r="R129" s="9">
        <v>98.15</v>
      </c>
      <c r="S129" s="9">
        <v>12013</v>
      </c>
      <c r="T129" s="9">
        <v>-997</v>
      </c>
      <c r="U129" s="9">
        <v>122</v>
      </c>
      <c r="V129" s="9" t="s">
        <v>139</v>
      </c>
      <c r="W129" s="9">
        <v>431.03</v>
      </c>
      <c r="X129" s="9">
        <v>12.191000000000001</v>
      </c>
      <c r="Y129" s="9">
        <v>32</v>
      </c>
      <c r="Z129" s="10">
        <v>42525.127662037034</v>
      </c>
      <c r="AA129" s="14">
        <f t="shared" si="13"/>
        <v>170.27413935823145</v>
      </c>
      <c r="AB129" s="11">
        <f t="shared" si="14"/>
        <v>928.89999999999964</v>
      </c>
      <c r="AC129" s="9">
        <v>928.89999999999895</v>
      </c>
      <c r="AD129" s="12">
        <v>94</v>
      </c>
      <c r="AE129" s="13">
        <f t="shared" si="11"/>
        <v>1.0008505598199073</v>
      </c>
      <c r="AF129" s="13">
        <f t="shared" si="12"/>
        <v>0.84305356648279106</v>
      </c>
      <c r="AG129" s="15"/>
      <c r="AH129" s="11" t="s">
        <v>40</v>
      </c>
    </row>
    <row r="130" spans="1:34" ht="14.25">
      <c r="A130" s="9" t="s">
        <v>165</v>
      </c>
      <c r="B130" s="9" t="s">
        <v>139</v>
      </c>
      <c r="C130" s="9">
        <v>2.677</v>
      </c>
      <c r="D130" s="9">
        <v>15.163</v>
      </c>
      <c r="E130" s="9">
        <v>51.417000000000002</v>
      </c>
      <c r="F130" s="9">
        <v>0.313</v>
      </c>
      <c r="G130" s="9">
        <v>10.308999999999999</v>
      </c>
      <c r="H130" s="9">
        <v>0.16300000000000001</v>
      </c>
      <c r="I130" s="9">
        <v>8.3230000000000004</v>
      </c>
      <c r="J130" s="9">
        <v>8.0679999999999996</v>
      </c>
      <c r="K130" s="9">
        <v>1.464</v>
      </c>
      <c r="L130" s="9">
        <v>4.1000000000000002E-2</v>
      </c>
      <c r="M130" s="9">
        <v>1.9E-2</v>
      </c>
      <c r="Q130" s="9">
        <v>0</v>
      </c>
      <c r="R130" s="9">
        <v>97.954999999999998</v>
      </c>
      <c r="S130" s="9">
        <v>12030.3</v>
      </c>
      <c r="T130" s="9">
        <v>-997</v>
      </c>
      <c r="U130" s="9">
        <v>122</v>
      </c>
      <c r="V130" s="9" t="s">
        <v>139</v>
      </c>
      <c r="W130" s="9">
        <v>448.28</v>
      </c>
      <c r="X130" s="9">
        <v>12.164</v>
      </c>
      <c r="Y130" s="9">
        <v>33</v>
      </c>
      <c r="Z130" s="10">
        <v>42525.134386574071</v>
      </c>
      <c r="AA130" s="14">
        <f t="shared" si="13"/>
        <v>140.66124555679991</v>
      </c>
      <c r="AB130" s="11">
        <f t="shared" si="14"/>
        <v>946.19999999999891</v>
      </c>
      <c r="AC130" s="9">
        <v>946.2</v>
      </c>
      <c r="AD130" s="12">
        <v>94</v>
      </c>
      <c r="AE130" s="13">
        <f t="shared" si="11"/>
        <v>1.0022715084625551</v>
      </c>
      <c r="AF130" s="13">
        <f t="shared" si="12"/>
        <v>0.84364157291535935</v>
      </c>
      <c r="AG130" s="15"/>
      <c r="AH130" s="11" t="s">
        <v>40</v>
      </c>
    </row>
    <row r="131" spans="1:34" ht="14.25">
      <c r="A131" s="9" t="s">
        <v>166</v>
      </c>
      <c r="B131" s="9" t="s">
        <v>139</v>
      </c>
      <c r="C131" s="9">
        <v>2.6360000000000001</v>
      </c>
      <c r="D131" s="9">
        <v>15.173</v>
      </c>
      <c r="E131" s="9">
        <v>51.396000000000001</v>
      </c>
      <c r="F131" s="9">
        <v>0.33500000000000002</v>
      </c>
      <c r="G131" s="9">
        <v>10.249000000000001</v>
      </c>
      <c r="H131" s="9">
        <v>0.155</v>
      </c>
      <c r="I131" s="9">
        <v>8.2680000000000007</v>
      </c>
      <c r="J131" s="9">
        <v>8.0109999999999992</v>
      </c>
      <c r="K131" s="9">
        <v>1.464</v>
      </c>
      <c r="L131" s="9">
        <v>4.2000000000000003E-2</v>
      </c>
      <c r="M131" s="9">
        <v>0.01</v>
      </c>
      <c r="Q131" s="9">
        <v>0</v>
      </c>
      <c r="R131" s="9">
        <v>97.741</v>
      </c>
      <c r="S131" s="9">
        <v>12047.5</v>
      </c>
      <c r="T131" s="9">
        <v>-997</v>
      </c>
      <c r="U131" s="9">
        <v>122</v>
      </c>
      <c r="V131" s="9" t="s">
        <v>139</v>
      </c>
      <c r="W131" s="9">
        <v>465.52</v>
      </c>
      <c r="X131" s="9">
        <v>12.131</v>
      </c>
      <c r="Y131" s="9">
        <v>34</v>
      </c>
      <c r="Z131" s="10">
        <v>42525.141099537039</v>
      </c>
      <c r="AA131" s="14">
        <f t="shared" si="13"/>
        <v>74.032234503578906</v>
      </c>
      <c r="AB131" s="11">
        <f t="shared" si="14"/>
        <v>963.39999999999964</v>
      </c>
      <c r="AC131" s="9">
        <v>963.39999999999895</v>
      </c>
      <c r="AD131" s="12">
        <v>94</v>
      </c>
      <c r="AE131" s="13">
        <f t="shared" si="11"/>
        <v>1.0054686429085122</v>
      </c>
      <c r="AF131" s="13">
        <f t="shared" si="12"/>
        <v>0.84495847608519525</v>
      </c>
      <c r="AG131" s="15"/>
      <c r="AH131" s="11" t="s">
        <v>40</v>
      </c>
    </row>
    <row r="132" spans="1:34" ht="14.25">
      <c r="A132" s="9" t="s">
        <v>167</v>
      </c>
      <c r="B132" s="9" t="s">
        <v>139</v>
      </c>
      <c r="C132" s="9">
        <v>2.7090000000000001</v>
      </c>
      <c r="D132" s="9">
        <v>15.182</v>
      </c>
      <c r="E132" s="9">
        <v>51.363999999999997</v>
      </c>
      <c r="F132" s="9">
        <v>0.32500000000000001</v>
      </c>
      <c r="G132" s="9">
        <v>10.279</v>
      </c>
      <c r="H132" s="9">
        <v>0.17199999999999999</v>
      </c>
      <c r="I132" s="9">
        <v>8.2919999999999998</v>
      </c>
      <c r="J132" s="9">
        <v>7.984</v>
      </c>
      <c r="K132" s="9">
        <v>1.48</v>
      </c>
      <c r="L132" s="9">
        <v>4.3999999999999997E-2</v>
      </c>
      <c r="M132" s="9">
        <v>1.7999999999999999E-2</v>
      </c>
      <c r="Q132" s="9">
        <v>0</v>
      </c>
      <c r="R132" s="9">
        <v>97.849000000000004</v>
      </c>
      <c r="S132" s="9">
        <v>12064.8</v>
      </c>
      <c r="T132" s="9">
        <v>-997</v>
      </c>
      <c r="U132" s="9">
        <v>122</v>
      </c>
      <c r="V132" s="9" t="s">
        <v>139</v>
      </c>
      <c r="W132" s="9">
        <v>482.76</v>
      </c>
      <c r="X132" s="9">
        <v>12.15</v>
      </c>
      <c r="Y132" s="9">
        <v>35</v>
      </c>
      <c r="Z132" s="10">
        <v>42525.147800925923</v>
      </c>
      <c r="AA132" s="14">
        <f t="shared" si="13"/>
        <v>133.25802210644201</v>
      </c>
      <c r="AB132" s="11">
        <f t="shared" si="14"/>
        <v>980.69999999999891</v>
      </c>
      <c r="AC132" s="9">
        <v>980.7</v>
      </c>
      <c r="AD132" s="12">
        <v>94</v>
      </c>
      <c r="AE132" s="13">
        <f t="shared" si="11"/>
        <v>1.002626745623217</v>
      </c>
      <c r="AF132" s="13">
        <f t="shared" si="12"/>
        <v>0.84378831310719071</v>
      </c>
      <c r="AG132" s="15"/>
      <c r="AH132" s="11" t="s">
        <v>40</v>
      </c>
    </row>
    <row r="133" spans="1:34" ht="14.25">
      <c r="A133" s="9" t="s">
        <v>168</v>
      </c>
      <c r="B133" s="9" t="s">
        <v>139</v>
      </c>
      <c r="C133" s="9">
        <v>2.6419999999999999</v>
      </c>
      <c r="D133" s="9">
        <v>15.151999999999999</v>
      </c>
      <c r="E133" s="9">
        <v>51.365000000000002</v>
      </c>
      <c r="F133" s="9">
        <v>0.32800000000000001</v>
      </c>
      <c r="G133" s="9">
        <v>10.291</v>
      </c>
      <c r="H133" s="9">
        <v>0.129</v>
      </c>
      <c r="I133" s="9">
        <v>8.3719999999999999</v>
      </c>
      <c r="J133" s="9">
        <v>7.952</v>
      </c>
      <c r="K133" s="9">
        <v>1.4690000000000001</v>
      </c>
      <c r="L133" s="9">
        <v>3.7999999999999999E-2</v>
      </c>
      <c r="M133" s="9">
        <v>1.7000000000000001E-2</v>
      </c>
      <c r="Q133" s="9">
        <v>0</v>
      </c>
      <c r="R133" s="9">
        <v>97.753</v>
      </c>
      <c r="S133" s="9">
        <v>12082</v>
      </c>
      <c r="T133" s="9">
        <v>-997</v>
      </c>
      <c r="U133" s="9">
        <v>122</v>
      </c>
      <c r="V133" s="9" t="s">
        <v>139</v>
      </c>
      <c r="W133" s="9">
        <v>500</v>
      </c>
      <c r="X133" s="9">
        <v>12.145</v>
      </c>
      <c r="Y133" s="9">
        <v>36</v>
      </c>
      <c r="Z133" s="10">
        <v>42525.154502314814</v>
      </c>
      <c r="AA133" s="14">
        <f t="shared" si="13"/>
        <v>125.85479865608414</v>
      </c>
      <c r="AB133" s="11">
        <f t="shared" si="14"/>
        <v>997.89999999999964</v>
      </c>
      <c r="AC133" s="9">
        <v>997.89999999999895</v>
      </c>
      <c r="AD133" s="12">
        <v>94</v>
      </c>
      <c r="AE133" s="13">
        <f t="shared" si="11"/>
        <v>1.0029819827838788</v>
      </c>
      <c r="AF133" s="13">
        <f t="shared" si="12"/>
        <v>0.8439349488072555</v>
      </c>
      <c r="AG133" s="15"/>
      <c r="AH133" s="11" t="s">
        <v>40</v>
      </c>
    </row>
    <row r="135" spans="1:34" s="23" customFormat="1"/>
    <row r="136" spans="1:34" s="23" customFormat="1">
      <c r="Z136" s="24"/>
    </row>
    <row r="137" spans="1:34" s="23" customFormat="1">
      <c r="Z137" s="24"/>
    </row>
    <row r="138" spans="1:34" s="23" customFormat="1">
      <c r="Z138" s="24"/>
    </row>
    <row r="139" spans="1:34" s="23" customFormat="1">
      <c r="Z139" s="24"/>
    </row>
    <row r="140" spans="1:34" s="23" customFormat="1">
      <c r="Z140" s="24"/>
    </row>
    <row r="141" spans="1:34" s="23" customFormat="1">
      <c r="Z141" s="24"/>
    </row>
    <row r="142" spans="1:34" s="23" customFormat="1">
      <c r="Z142" s="24"/>
    </row>
    <row r="143" spans="1:34" s="23" customFormat="1">
      <c r="Z143" s="24"/>
    </row>
    <row r="144" spans="1:34" s="23" customFormat="1">
      <c r="Z144" s="24"/>
    </row>
    <row r="145" spans="26:26" s="23" customFormat="1">
      <c r="Z145" s="24"/>
    </row>
    <row r="146" spans="26:26" s="23" customFormat="1">
      <c r="Z146" s="24"/>
    </row>
    <row r="147" spans="26:26" s="23" customFormat="1">
      <c r="Z147" s="24"/>
    </row>
    <row r="148" spans="26:26" s="23" customFormat="1">
      <c r="Z148" s="24"/>
    </row>
    <row r="149" spans="26:26" s="23" customFormat="1">
      <c r="Z149" s="24"/>
    </row>
    <row r="150" spans="26:26" s="23" customFormat="1">
      <c r="Z150" s="24"/>
    </row>
    <row r="151" spans="26:26" s="23" customFormat="1">
      <c r="Z151" s="24"/>
    </row>
    <row r="152" spans="26:26" s="23" customFormat="1">
      <c r="Z152" s="24"/>
    </row>
    <row r="153" spans="26:26" s="23" customFormat="1">
      <c r="Z153" s="24"/>
    </row>
    <row r="154" spans="26:26" s="23" customFormat="1">
      <c r="Z154" s="24"/>
    </row>
    <row r="155" spans="26:26" s="23" customFormat="1">
      <c r="Z155" s="24"/>
    </row>
    <row r="156" spans="26:26" s="23" customFormat="1">
      <c r="Z156" s="24"/>
    </row>
    <row r="157" spans="26:26" s="23" customFormat="1">
      <c r="Z157" s="24"/>
    </row>
    <row r="158" spans="26:26" s="23" customFormat="1">
      <c r="Z158" s="24"/>
    </row>
    <row r="159" spans="26:26" s="23" customFormat="1">
      <c r="Z159" s="24"/>
    </row>
    <row r="160" spans="26:26" s="23" customFormat="1">
      <c r="Z160" s="24"/>
    </row>
    <row r="161" spans="26:26" s="23" customFormat="1">
      <c r="Z161" s="24"/>
    </row>
    <row r="162" spans="26:26" s="23" customFormat="1">
      <c r="Z162" s="24"/>
    </row>
    <row r="163" spans="26:26" s="23" customFormat="1">
      <c r="Z163" s="24"/>
    </row>
    <row r="164" spans="26:26" s="23" customFormat="1">
      <c r="Z164" s="24"/>
    </row>
    <row r="165" spans="26:26" s="23" customFormat="1">
      <c r="Z165" s="2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206"/>
  <sheetViews>
    <sheetView workbookViewId="0">
      <pane xSplit="2" ySplit="3" topLeftCell="C4" activePane="bottomRight" state="frozen"/>
      <selection pane="bottomRight" sqref="A1:A2"/>
      <selection pane="bottomLeft" activeCell="A2" sqref="A2"/>
      <selection pane="topRight" activeCell="C1" sqref="C1"/>
    </sheetView>
  </sheetViews>
  <sheetFormatPr defaultRowHeight="15"/>
  <cols>
    <col min="1" max="2" width="11.42578125" customWidth="1"/>
    <col min="3" max="13" width="11" bestFit="1" customWidth="1"/>
    <col min="14" max="16" width="11" customWidth="1"/>
    <col min="17" max="22" width="11" bestFit="1" customWidth="1"/>
    <col min="23" max="23" width="11.42578125" customWidth="1"/>
    <col min="24" max="26" width="11" bestFit="1" customWidth="1"/>
    <col min="27" max="27" width="15" bestFit="1" customWidth="1"/>
    <col min="28" max="28" width="11.42578125" customWidth="1"/>
    <col min="29" max="29" width="11.28515625" bestFit="1" customWidth="1"/>
    <col min="30" max="256" width="11.42578125" customWidth="1"/>
  </cols>
  <sheetData>
    <row r="1" spans="1:29">
      <c r="A1" s="9" t="s">
        <v>0</v>
      </c>
    </row>
    <row r="2" spans="1:29">
      <c r="A2" s="9" t="s">
        <v>1</v>
      </c>
    </row>
    <row r="3" spans="1:29" s="11" customFormat="1" ht="12.75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 t="s">
        <v>12</v>
      </c>
      <c r="L3" s="11" t="s">
        <v>13</v>
      </c>
      <c r="M3" s="11" t="s">
        <v>14</v>
      </c>
      <c r="N3" s="11" t="s">
        <v>15</v>
      </c>
      <c r="O3" s="11" t="s">
        <v>16</v>
      </c>
      <c r="P3" s="11" t="s">
        <v>17</v>
      </c>
      <c r="Q3" s="11" t="s">
        <v>18</v>
      </c>
      <c r="R3" s="11" t="s">
        <v>169</v>
      </c>
      <c r="S3" s="11" t="s">
        <v>19</v>
      </c>
      <c r="T3" s="11" t="s">
        <v>20</v>
      </c>
      <c r="U3" s="11" t="s">
        <v>21</v>
      </c>
      <c r="V3" s="11" t="s">
        <v>22</v>
      </c>
      <c r="W3" s="11" t="s">
        <v>3</v>
      </c>
      <c r="X3" s="11" t="s">
        <v>170</v>
      </c>
      <c r="Y3" s="11" t="s">
        <v>24</v>
      </c>
      <c r="Z3" s="11" t="s">
        <v>25</v>
      </c>
      <c r="AA3" s="11" t="s">
        <v>26</v>
      </c>
      <c r="AC3" s="11" t="s">
        <v>171</v>
      </c>
    </row>
    <row r="4" spans="1:29" s="9" customFormat="1" ht="12.75">
      <c r="A4" s="9" t="s">
        <v>172</v>
      </c>
      <c r="B4" s="9" t="s">
        <v>173</v>
      </c>
      <c r="C4" s="9">
        <v>0</v>
      </c>
      <c r="D4" s="9">
        <v>0</v>
      </c>
      <c r="E4" s="9">
        <v>30.745999999999999</v>
      </c>
      <c r="F4" s="9">
        <v>0</v>
      </c>
      <c r="G4" s="9">
        <v>3.0000000000000001E-3</v>
      </c>
      <c r="H4" s="9">
        <v>0</v>
      </c>
      <c r="I4" s="9">
        <v>4.2000000000000003E-2</v>
      </c>
      <c r="J4" s="9">
        <v>0</v>
      </c>
      <c r="K4" s="9">
        <v>0</v>
      </c>
      <c r="L4" s="9">
        <v>0</v>
      </c>
      <c r="M4" s="9">
        <v>63.957000000000001</v>
      </c>
      <c r="Q4" s="9">
        <v>1.135</v>
      </c>
      <c r="R4" s="9">
        <v>0</v>
      </c>
      <c r="S4" s="9">
        <v>95.884</v>
      </c>
      <c r="T4" s="9">
        <v>10729</v>
      </c>
      <c r="U4" s="9">
        <v>-1212</v>
      </c>
      <c r="V4" s="9">
        <v>237</v>
      </c>
      <c r="W4" s="9" t="s">
        <v>173</v>
      </c>
      <c r="X4" s="9">
        <v>0</v>
      </c>
      <c r="Y4" s="9">
        <v>24.306000000000001</v>
      </c>
      <c r="Z4" s="9">
        <v>1</v>
      </c>
      <c r="AA4" s="22">
        <v>43654.423020833332</v>
      </c>
    </row>
    <row r="5" spans="1:29" s="9" customFormat="1" ht="13.5">
      <c r="A5" s="9" t="s">
        <v>174</v>
      </c>
      <c r="B5" s="9" t="s">
        <v>173</v>
      </c>
      <c r="C5" s="9">
        <v>0</v>
      </c>
      <c r="D5" s="9">
        <v>3.0000000000000001E-3</v>
      </c>
      <c r="E5" s="9">
        <v>30.556999999999999</v>
      </c>
      <c r="F5" s="9">
        <v>8.0000000000000002E-3</v>
      </c>
      <c r="G5" s="9">
        <v>0</v>
      </c>
      <c r="H5" s="9">
        <v>1.6E-2</v>
      </c>
      <c r="I5" s="9">
        <v>7.0000000000000007E-2</v>
      </c>
      <c r="J5" s="9">
        <v>3.0000000000000001E-3</v>
      </c>
      <c r="K5" s="9">
        <v>0</v>
      </c>
      <c r="L5" s="9">
        <v>4.0000000000000001E-3</v>
      </c>
      <c r="M5" s="9">
        <v>63.567999999999998</v>
      </c>
      <c r="Q5" s="9">
        <v>1.133</v>
      </c>
      <c r="R5" s="9">
        <v>0</v>
      </c>
      <c r="S5" s="9">
        <v>95.361999999999995</v>
      </c>
      <c r="T5" s="9">
        <v>10719.2</v>
      </c>
      <c r="U5" s="9">
        <v>-1209.7</v>
      </c>
      <c r="V5" s="9">
        <v>237</v>
      </c>
      <c r="W5" s="9" t="s">
        <v>173</v>
      </c>
      <c r="X5" s="9">
        <v>10.02</v>
      </c>
      <c r="Y5" s="9">
        <v>24.172999999999998</v>
      </c>
      <c r="Z5" s="9">
        <v>2</v>
      </c>
      <c r="AA5" s="22">
        <v>43654.425555555557</v>
      </c>
      <c r="AC5" s="21">
        <f>O8-493.62+94</f>
        <v>23438.488068626335</v>
      </c>
    </row>
    <row r="6" spans="1:29" s="9" customFormat="1" ht="12.75">
      <c r="A6" s="9" t="s">
        <v>175</v>
      </c>
      <c r="B6" s="9" t="s">
        <v>173</v>
      </c>
      <c r="C6" s="9">
        <v>0</v>
      </c>
      <c r="D6" s="9">
        <v>0.26300000000000001</v>
      </c>
      <c r="E6" s="9">
        <v>30.245999999999999</v>
      </c>
      <c r="F6" s="9">
        <v>2.1999999999999999E-2</v>
      </c>
      <c r="G6" s="9">
        <v>0.27300000000000002</v>
      </c>
      <c r="H6" s="9">
        <v>8.0000000000000002E-3</v>
      </c>
      <c r="I6" s="9">
        <v>0.32100000000000001</v>
      </c>
      <c r="J6" s="9">
        <v>0.14399999999999999</v>
      </c>
      <c r="K6" s="9">
        <v>8.0000000000000002E-3</v>
      </c>
      <c r="L6" s="9">
        <v>0.01</v>
      </c>
      <c r="M6" s="9">
        <v>61.225999999999999</v>
      </c>
      <c r="Q6" s="9">
        <v>1.0569999999999999</v>
      </c>
      <c r="R6" s="9">
        <v>0</v>
      </c>
      <c r="S6" s="9">
        <v>93.576999999999998</v>
      </c>
      <c r="T6" s="9">
        <v>10709.5</v>
      </c>
      <c r="U6" s="9">
        <v>-1207.5</v>
      </c>
      <c r="V6" s="9">
        <v>237</v>
      </c>
      <c r="W6" s="9" t="s">
        <v>173</v>
      </c>
      <c r="X6" s="9">
        <v>20.04</v>
      </c>
      <c r="Y6" s="9">
        <v>23.495999999999999</v>
      </c>
      <c r="Z6" s="9">
        <v>3</v>
      </c>
      <c r="AA6" s="22">
        <v>43654.427881944444</v>
      </c>
    </row>
    <row r="7" spans="1:29" s="9" customFormat="1" ht="12.75">
      <c r="A7" s="9" t="s">
        <v>176</v>
      </c>
      <c r="B7" s="9" t="s">
        <v>173</v>
      </c>
      <c r="C7" s="9">
        <v>1.99</v>
      </c>
      <c r="D7" s="9">
        <v>13.772</v>
      </c>
      <c r="E7" s="9">
        <v>49.180999999999997</v>
      </c>
      <c r="F7" s="9">
        <v>0.29499999999999998</v>
      </c>
      <c r="G7" s="9">
        <v>10.282999999999999</v>
      </c>
      <c r="H7" s="9">
        <v>0.17899999999999999</v>
      </c>
      <c r="I7" s="9">
        <v>7.6369999999999996</v>
      </c>
      <c r="J7" s="9">
        <v>7.742</v>
      </c>
      <c r="K7" s="9">
        <v>1.452</v>
      </c>
      <c r="L7" s="9">
        <v>4.8000000000000001E-2</v>
      </c>
      <c r="M7" s="9">
        <v>2.3210000000000002</v>
      </c>
      <c r="N7" s="14"/>
      <c r="O7" s="11"/>
      <c r="P7" s="11"/>
      <c r="Q7" s="9">
        <v>4.1000000000000002E-2</v>
      </c>
      <c r="R7" s="9">
        <v>0.17499999999999999</v>
      </c>
      <c r="S7" s="9">
        <v>95.116</v>
      </c>
      <c r="T7" s="9">
        <v>10699.7</v>
      </c>
      <c r="U7" s="9">
        <v>-1205.2</v>
      </c>
      <c r="V7" s="9">
        <v>237</v>
      </c>
      <c r="W7" s="9" t="s">
        <v>173</v>
      </c>
      <c r="X7" s="9">
        <v>30.06</v>
      </c>
      <c r="Y7" s="9">
        <v>12.29</v>
      </c>
      <c r="Z7" s="9">
        <v>4</v>
      </c>
      <c r="AA7" s="22">
        <v>43654.430254629631</v>
      </c>
    </row>
    <row r="8" spans="1:29" s="9" customFormat="1" ht="12.75">
      <c r="A8" s="9" t="s">
        <v>177</v>
      </c>
      <c r="B8" s="9" t="s">
        <v>173</v>
      </c>
      <c r="C8" s="9">
        <v>2.0699999999999998</v>
      </c>
      <c r="D8" s="9">
        <v>13.647</v>
      </c>
      <c r="E8" s="9">
        <v>48.918999999999997</v>
      </c>
      <c r="F8" s="9">
        <v>0.26900000000000002</v>
      </c>
      <c r="G8" s="9">
        <v>10.316000000000001</v>
      </c>
      <c r="H8" s="9">
        <v>0.182</v>
      </c>
      <c r="I8" s="9">
        <v>7.5819999999999999</v>
      </c>
      <c r="J8" s="9">
        <v>7.7750000000000004</v>
      </c>
      <c r="K8" s="9">
        <v>1.4470000000000001</v>
      </c>
      <c r="L8" s="9">
        <v>5.2999999999999999E-2</v>
      </c>
      <c r="M8" s="11">
        <v>3.1179999999999999</v>
      </c>
      <c r="N8" s="14">
        <f>M8/(91.22+15.999*2)*91.22*10000</f>
        <v>23082.987875148108</v>
      </c>
      <c r="O8" s="14">
        <f>AVERAGEA(N7:N11)</f>
        <v>23838.108068626334</v>
      </c>
      <c r="P8" s="14">
        <f>STDEVA(N7:N11)</f>
        <v>554.42873075026716</v>
      </c>
      <c r="Q8" s="9">
        <v>0.03</v>
      </c>
      <c r="R8" s="9">
        <v>0.17799999999999999</v>
      </c>
      <c r="S8" s="9">
        <v>95.587999999999994</v>
      </c>
      <c r="T8" s="9">
        <v>10690</v>
      </c>
      <c r="U8" s="9">
        <v>-1203</v>
      </c>
      <c r="V8" s="9">
        <v>237</v>
      </c>
      <c r="W8" s="9" t="s">
        <v>173</v>
      </c>
      <c r="X8" s="9">
        <v>40.08</v>
      </c>
      <c r="Y8" s="9">
        <v>12.496</v>
      </c>
      <c r="Z8" s="9">
        <v>5</v>
      </c>
      <c r="AA8" s="22">
        <v>43654.437002314815</v>
      </c>
    </row>
    <row r="9" spans="1:29" s="9" customFormat="1" ht="12.75">
      <c r="A9" s="9" t="s">
        <v>178</v>
      </c>
      <c r="B9" s="9" t="s">
        <v>173</v>
      </c>
      <c r="C9" s="9">
        <v>2.0379999999999998</v>
      </c>
      <c r="D9" s="9">
        <v>13.657999999999999</v>
      </c>
      <c r="E9" s="9">
        <v>48.905999999999999</v>
      </c>
      <c r="F9" s="9">
        <v>0.25700000000000001</v>
      </c>
      <c r="G9" s="9">
        <v>10.292</v>
      </c>
      <c r="H9" s="9">
        <v>0.158</v>
      </c>
      <c r="I9" s="9">
        <v>7.6189999999999998</v>
      </c>
      <c r="J9" s="9">
        <v>7.7939999999999996</v>
      </c>
      <c r="K9" s="9">
        <v>1.4390000000000001</v>
      </c>
      <c r="L9" s="9">
        <v>5.5E-2</v>
      </c>
      <c r="M9" s="11">
        <v>3.2810000000000001</v>
      </c>
      <c r="N9" s="14">
        <f>M9/(91.22+15.999*2)*91.22*10000</f>
        <v>24289.699556882926</v>
      </c>
      <c r="O9" s="11"/>
      <c r="P9" s="11"/>
      <c r="Q9" s="9">
        <v>5.8000000000000003E-2</v>
      </c>
      <c r="R9" s="9">
        <v>0.17799999999999999</v>
      </c>
      <c r="S9" s="9">
        <v>95.733999999999995</v>
      </c>
      <c r="T9" s="9">
        <v>10680.2</v>
      </c>
      <c r="U9" s="9">
        <v>-1200.7</v>
      </c>
      <c r="V9" s="9">
        <v>237</v>
      </c>
      <c r="W9" s="9" t="s">
        <v>173</v>
      </c>
      <c r="X9" s="9">
        <v>50.09</v>
      </c>
      <c r="Y9" s="9">
        <v>12.558999999999999</v>
      </c>
      <c r="Z9" s="9">
        <v>6</v>
      </c>
      <c r="AA9" s="22">
        <v>43654.443738425929</v>
      </c>
    </row>
    <row r="10" spans="1:29" s="9" customFormat="1" ht="12.75">
      <c r="A10" s="9" t="s">
        <v>179</v>
      </c>
      <c r="B10" s="9" t="s">
        <v>173</v>
      </c>
      <c r="C10" s="9">
        <v>1.988</v>
      </c>
      <c r="D10" s="9">
        <v>13.760999999999999</v>
      </c>
      <c r="E10" s="9">
        <v>49.292999999999999</v>
      </c>
      <c r="F10" s="9">
        <v>0.27800000000000002</v>
      </c>
      <c r="G10" s="9">
        <v>10.253</v>
      </c>
      <c r="H10" s="9">
        <v>0.161</v>
      </c>
      <c r="I10" s="9">
        <v>7.593</v>
      </c>
      <c r="J10" s="9">
        <v>7.8170000000000002</v>
      </c>
      <c r="K10" s="9">
        <v>1.4470000000000001</v>
      </c>
      <c r="L10" s="9">
        <v>5.5E-2</v>
      </c>
      <c r="M10" s="11">
        <v>3.2709999999999999</v>
      </c>
      <c r="N10" s="14">
        <f>M10/(91.22+15.999*2)*91.22*10000</f>
        <v>24215.668165365445</v>
      </c>
      <c r="O10" s="11"/>
      <c r="P10" s="11"/>
      <c r="Q10" s="9">
        <v>0.05</v>
      </c>
      <c r="R10" s="9">
        <v>0.21199999999999999</v>
      </c>
      <c r="S10" s="9">
        <v>96.179000000000002</v>
      </c>
      <c r="T10" s="9">
        <v>10670.4</v>
      </c>
      <c r="U10" s="9">
        <v>-1198.5</v>
      </c>
      <c r="V10" s="9">
        <v>237</v>
      </c>
      <c r="W10" s="9" t="s">
        <v>173</v>
      </c>
      <c r="X10" s="9">
        <v>60.11</v>
      </c>
      <c r="Y10" s="9">
        <v>12.598000000000001</v>
      </c>
      <c r="Z10" s="9">
        <v>7</v>
      </c>
      <c r="AA10" s="22">
        <v>43654.450439814813</v>
      </c>
    </row>
    <row r="11" spans="1:29" s="9" customFormat="1" ht="12.75">
      <c r="A11" s="9" t="s">
        <v>180</v>
      </c>
      <c r="B11" s="9" t="s">
        <v>173</v>
      </c>
      <c r="C11" s="9">
        <v>1.827</v>
      </c>
      <c r="D11" s="9">
        <v>13.849</v>
      </c>
      <c r="E11" s="9">
        <v>49.515999999999998</v>
      </c>
      <c r="F11" s="9">
        <v>0.27500000000000002</v>
      </c>
      <c r="G11" s="9">
        <v>10.305999999999999</v>
      </c>
      <c r="H11" s="9">
        <v>0.12</v>
      </c>
      <c r="I11" s="9">
        <v>7.5579999999999998</v>
      </c>
      <c r="J11" s="9">
        <v>7.8319999999999999</v>
      </c>
      <c r="K11" s="9">
        <v>1.41</v>
      </c>
      <c r="L11" s="9">
        <v>4.3999999999999997E-2</v>
      </c>
      <c r="M11" s="11">
        <v>3.21</v>
      </c>
      <c r="N11" s="14">
        <f>M11/(91.22+15.999*2)*91.22*10000</f>
        <v>23764.076677108864</v>
      </c>
      <c r="O11" s="11"/>
      <c r="P11" s="11"/>
      <c r="Q11" s="9">
        <v>7.4999999999999997E-2</v>
      </c>
      <c r="R11" s="9">
        <v>0.19700000000000001</v>
      </c>
      <c r="S11" s="9">
        <v>96.22</v>
      </c>
      <c r="T11" s="9">
        <v>10660.7</v>
      </c>
      <c r="U11" s="9">
        <v>-1196.2</v>
      </c>
      <c r="V11" s="9">
        <v>237</v>
      </c>
      <c r="W11" s="9" t="s">
        <v>173</v>
      </c>
      <c r="X11" s="9">
        <v>70.13</v>
      </c>
      <c r="Y11" s="9">
        <v>12.595000000000001</v>
      </c>
      <c r="Z11" s="9">
        <v>8</v>
      </c>
      <c r="AA11" s="22">
        <v>43654.457175925927</v>
      </c>
    </row>
    <row r="12" spans="1:29" s="9" customFormat="1" ht="12.75">
      <c r="A12" s="9" t="s">
        <v>181</v>
      </c>
      <c r="B12" s="9" t="s">
        <v>173</v>
      </c>
      <c r="C12" s="9">
        <v>1.9550000000000001</v>
      </c>
      <c r="D12" s="9">
        <v>13.997</v>
      </c>
      <c r="E12" s="9">
        <v>49.686999999999998</v>
      </c>
      <c r="F12" s="9">
        <v>0.28599999999999998</v>
      </c>
      <c r="G12" s="9">
        <v>10.226000000000001</v>
      </c>
      <c r="H12" s="9">
        <v>0.156</v>
      </c>
      <c r="I12" s="9">
        <v>7.548</v>
      </c>
      <c r="J12" s="9">
        <v>7.8360000000000003</v>
      </c>
      <c r="K12" s="9">
        <v>1.431</v>
      </c>
      <c r="L12" s="9">
        <v>4.7E-2</v>
      </c>
      <c r="M12" s="9">
        <v>3.077</v>
      </c>
      <c r="Q12" s="9">
        <v>4.1000000000000002E-2</v>
      </c>
      <c r="R12" s="9">
        <v>0.16800000000000001</v>
      </c>
      <c r="S12" s="9">
        <v>96.456000000000003</v>
      </c>
      <c r="T12" s="9">
        <v>10650.9</v>
      </c>
      <c r="U12" s="9">
        <v>-1194</v>
      </c>
      <c r="V12" s="9">
        <v>237</v>
      </c>
      <c r="W12" s="9" t="s">
        <v>173</v>
      </c>
      <c r="X12" s="9">
        <v>80.150000000000006</v>
      </c>
      <c r="Y12" s="9">
        <v>12.574</v>
      </c>
      <c r="Z12" s="9">
        <v>9</v>
      </c>
      <c r="AA12" s="22">
        <v>43654.463877314818</v>
      </c>
    </row>
    <row r="13" spans="1:29" s="9" customFormat="1" ht="12.75">
      <c r="A13" s="9" t="s">
        <v>182</v>
      </c>
      <c r="B13" s="9" t="s">
        <v>173</v>
      </c>
      <c r="C13" s="9">
        <v>1.9219999999999999</v>
      </c>
      <c r="D13" s="9">
        <v>14.073</v>
      </c>
      <c r="E13" s="9">
        <v>49.779000000000003</v>
      </c>
      <c r="F13" s="9">
        <v>0.28499999999999998</v>
      </c>
      <c r="G13" s="9">
        <v>10.159000000000001</v>
      </c>
      <c r="H13" s="9">
        <v>0.14699999999999999</v>
      </c>
      <c r="I13" s="9">
        <v>7.5709999999999997</v>
      </c>
      <c r="J13" s="9">
        <v>7.8010000000000002</v>
      </c>
      <c r="K13" s="9">
        <v>1.4159999999999999</v>
      </c>
      <c r="L13" s="9">
        <v>4.7E-2</v>
      </c>
      <c r="M13" s="9">
        <v>2.97</v>
      </c>
      <c r="Q13" s="9">
        <v>4.3999999999999997E-2</v>
      </c>
      <c r="R13" s="9">
        <v>0.17499999999999999</v>
      </c>
      <c r="S13" s="9">
        <v>96.39</v>
      </c>
      <c r="T13" s="9">
        <v>10641.1</v>
      </c>
      <c r="U13" s="9">
        <v>-1191.7</v>
      </c>
      <c r="V13" s="9">
        <v>237</v>
      </c>
      <c r="W13" s="9" t="s">
        <v>173</v>
      </c>
      <c r="X13" s="9">
        <v>90.17</v>
      </c>
      <c r="Y13" s="9">
        <v>12.544</v>
      </c>
      <c r="Z13" s="9">
        <v>10</v>
      </c>
      <c r="AA13" s="22">
        <v>43654.470613425925</v>
      </c>
    </row>
    <row r="14" spans="1:29" s="9" customFormat="1" ht="12.75">
      <c r="A14" s="9" t="s">
        <v>183</v>
      </c>
      <c r="B14" s="9" t="s">
        <v>173</v>
      </c>
      <c r="C14" s="9">
        <v>2.0569999999999999</v>
      </c>
      <c r="D14" s="9">
        <v>14.148999999999999</v>
      </c>
      <c r="E14" s="9">
        <v>49.723999999999997</v>
      </c>
      <c r="F14" s="9">
        <v>0.29899999999999999</v>
      </c>
      <c r="G14" s="9">
        <v>10.212999999999999</v>
      </c>
      <c r="H14" s="9">
        <v>0.16600000000000001</v>
      </c>
      <c r="I14" s="9">
        <v>7.5119999999999996</v>
      </c>
      <c r="J14" s="9">
        <v>7.85</v>
      </c>
      <c r="K14" s="9">
        <v>1.41</v>
      </c>
      <c r="L14" s="9">
        <v>3.9E-2</v>
      </c>
      <c r="M14" s="9">
        <v>2.84</v>
      </c>
      <c r="Q14" s="9">
        <v>1.9E-2</v>
      </c>
      <c r="R14" s="9">
        <v>0.16200000000000001</v>
      </c>
      <c r="S14" s="9">
        <v>96.438000000000002</v>
      </c>
      <c r="T14" s="9">
        <v>10631.4</v>
      </c>
      <c r="U14" s="9">
        <v>-1189.5</v>
      </c>
      <c r="V14" s="9">
        <v>237</v>
      </c>
      <c r="W14" s="9" t="s">
        <v>173</v>
      </c>
      <c r="X14" s="9">
        <v>100.19</v>
      </c>
      <c r="Y14" s="9">
        <v>12.506</v>
      </c>
      <c r="Z14" s="9">
        <v>11</v>
      </c>
      <c r="AA14" s="22">
        <v>43654.477361111109</v>
      </c>
    </row>
    <row r="15" spans="1:29" s="9" customFormat="1" ht="12.75">
      <c r="A15" s="9" t="s">
        <v>184</v>
      </c>
      <c r="B15" s="9" t="s">
        <v>173</v>
      </c>
      <c r="C15" s="9">
        <v>1.89</v>
      </c>
      <c r="D15" s="9">
        <v>14.252000000000001</v>
      </c>
      <c r="E15" s="9">
        <v>50.026000000000003</v>
      </c>
      <c r="F15" s="9">
        <v>0.28799999999999998</v>
      </c>
      <c r="G15" s="9">
        <v>10.17</v>
      </c>
      <c r="H15" s="9">
        <v>0.17599999999999999</v>
      </c>
      <c r="I15" s="9">
        <v>7.4459999999999997</v>
      </c>
      <c r="J15" s="9">
        <v>7.8789999999999996</v>
      </c>
      <c r="K15" s="9">
        <v>1.411</v>
      </c>
      <c r="L15" s="9">
        <v>4.8000000000000001E-2</v>
      </c>
      <c r="M15" s="9">
        <v>2.7120000000000002</v>
      </c>
      <c r="Q15" s="9">
        <v>2.9000000000000001E-2</v>
      </c>
      <c r="R15" s="9">
        <v>0.17</v>
      </c>
      <c r="S15" s="9">
        <v>96.495999999999995</v>
      </c>
      <c r="T15" s="9">
        <v>10621.6</v>
      </c>
      <c r="U15" s="9">
        <v>-1187.2</v>
      </c>
      <c r="V15" s="9">
        <v>237</v>
      </c>
      <c r="W15" s="9" t="s">
        <v>173</v>
      </c>
      <c r="X15" s="9">
        <v>110.21</v>
      </c>
      <c r="Y15" s="9">
        <v>12.483000000000001</v>
      </c>
      <c r="Z15" s="9">
        <v>12</v>
      </c>
      <c r="AA15" s="22">
        <v>43654.484097222223</v>
      </c>
    </row>
    <row r="16" spans="1:29" s="9" customFormat="1" ht="12.75">
      <c r="A16" s="9" t="s">
        <v>185</v>
      </c>
      <c r="B16" s="9" t="s">
        <v>173</v>
      </c>
      <c r="C16" s="9">
        <v>1.853</v>
      </c>
      <c r="D16" s="9">
        <v>14.268000000000001</v>
      </c>
      <c r="E16" s="9">
        <v>49.942999999999998</v>
      </c>
      <c r="F16" s="9">
        <v>0.30099999999999999</v>
      </c>
      <c r="G16" s="9">
        <v>10.153</v>
      </c>
      <c r="H16" s="9">
        <v>0.154</v>
      </c>
      <c r="I16" s="9">
        <v>7.5129999999999999</v>
      </c>
      <c r="J16" s="9">
        <v>7.8760000000000003</v>
      </c>
      <c r="K16" s="9">
        <v>1.427</v>
      </c>
      <c r="L16" s="9">
        <v>4.1000000000000002E-2</v>
      </c>
      <c r="M16" s="9">
        <v>2.577</v>
      </c>
      <c r="Q16" s="9">
        <v>3.2000000000000001E-2</v>
      </c>
      <c r="R16" s="9">
        <v>0.17799999999999999</v>
      </c>
      <c r="S16" s="9">
        <v>96.316999999999993</v>
      </c>
      <c r="T16" s="9">
        <v>10611.9</v>
      </c>
      <c r="U16" s="9">
        <v>-1185</v>
      </c>
      <c r="V16" s="9">
        <v>237</v>
      </c>
      <c r="W16" s="9" t="s">
        <v>173</v>
      </c>
      <c r="X16" s="9">
        <v>120.23</v>
      </c>
      <c r="Y16" s="9">
        <v>12.442</v>
      </c>
      <c r="Z16" s="9">
        <v>13</v>
      </c>
      <c r="AA16" s="22">
        <v>43654.490844907406</v>
      </c>
    </row>
    <row r="17" spans="1:27" s="9" customFormat="1" ht="12.75">
      <c r="A17" s="9" t="s">
        <v>186</v>
      </c>
      <c r="B17" s="9" t="s">
        <v>173</v>
      </c>
      <c r="C17" s="9">
        <v>1.907</v>
      </c>
      <c r="D17" s="9">
        <v>14.398</v>
      </c>
      <c r="E17" s="9">
        <v>50.097000000000001</v>
      </c>
      <c r="F17" s="9">
        <v>0.28199999999999997</v>
      </c>
      <c r="G17" s="9">
        <v>10.125999999999999</v>
      </c>
      <c r="H17" s="9">
        <v>0.16200000000000001</v>
      </c>
      <c r="I17" s="9">
        <v>7.5179999999999998</v>
      </c>
      <c r="J17" s="9">
        <v>7.91</v>
      </c>
      <c r="K17" s="9">
        <v>1.4</v>
      </c>
      <c r="L17" s="9">
        <v>4.4999999999999998E-2</v>
      </c>
      <c r="M17" s="9">
        <v>2.5049999999999999</v>
      </c>
      <c r="Q17" s="9">
        <v>2.5999999999999999E-2</v>
      </c>
      <c r="R17" s="9">
        <v>0.16</v>
      </c>
      <c r="S17" s="9">
        <v>96.537999999999997</v>
      </c>
      <c r="T17" s="9">
        <v>10602.1</v>
      </c>
      <c r="U17" s="9">
        <v>-1182.7</v>
      </c>
      <c r="V17" s="9">
        <v>237</v>
      </c>
      <c r="W17" s="9" t="s">
        <v>173</v>
      </c>
      <c r="X17" s="9">
        <v>130.25</v>
      </c>
      <c r="Y17" s="9">
        <v>12.445</v>
      </c>
      <c r="Z17" s="9">
        <v>14</v>
      </c>
      <c r="AA17" s="22">
        <v>43654.497581018521</v>
      </c>
    </row>
    <row r="18" spans="1:27" s="9" customFormat="1" ht="12.75">
      <c r="A18" s="9" t="s">
        <v>187</v>
      </c>
      <c r="B18" s="9" t="s">
        <v>173</v>
      </c>
      <c r="C18" s="9">
        <v>1.859</v>
      </c>
      <c r="D18" s="9">
        <v>14.321999999999999</v>
      </c>
      <c r="E18" s="9">
        <v>50.271000000000001</v>
      </c>
      <c r="F18" s="9">
        <v>0.311</v>
      </c>
      <c r="G18" s="9">
        <v>10.173</v>
      </c>
      <c r="H18" s="9">
        <v>0.18099999999999999</v>
      </c>
      <c r="I18" s="9">
        <v>7.4509999999999996</v>
      </c>
      <c r="J18" s="9">
        <v>7.8890000000000002</v>
      </c>
      <c r="K18" s="9">
        <v>1.4019999999999999</v>
      </c>
      <c r="L18" s="9">
        <v>3.9E-2</v>
      </c>
      <c r="M18" s="9">
        <v>2.3780000000000001</v>
      </c>
      <c r="Q18" s="9">
        <v>4.3999999999999997E-2</v>
      </c>
      <c r="R18" s="9">
        <v>0.17899999999999999</v>
      </c>
      <c r="S18" s="9">
        <v>96.5</v>
      </c>
      <c r="T18" s="9">
        <v>10592.3</v>
      </c>
      <c r="U18" s="9">
        <v>-1180.5</v>
      </c>
      <c r="V18" s="9">
        <v>237</v>
      </c>
      <c r="W18" s="9" t="s">
        <v>173</v>
      </c>
      <c r="X18" s="9">
        <v>140.26</v>
      </c>
      <c r="Y18" s="9">
        <v>12.422000000000001</v>
      </c>
      <c r="Z18" s="9">
        <v>15</v>
      </c>
      <c r="AA18" s="22">
        <v>43654.504328703704</v>
      </c>
    </row>
    <row r="19" spans="1:27" s="9" customFormat="1" ht="12.75">
      <c r="A19" s="9" t="s">
        <v>188</v>
      </c>
      <c r="B19" s="9" t="s">
        <v>173</v>
      </c>
      <c r="C19" s="9">
        <v>1.8540000000000001</v>
      </c>
      <c r="D19" s="9">
        <v>14.356</v>
      </c>
      <c r="E19" s="9">
        <v>50.218000000000004</v>
      </c>
      <c r="F19" s="9">
        <v>0.29399999999999998</v>
      </c>
      <c r="G19" s="9">
        <v>10.195</v>
      </c>
      <c r="H19" s="9">
        <v>0.186</v>
      </c>
      <c r="I19" s="9">
        <v>7.415</v>
      </c>
      <c r="J19" s="9">
        <v>7.9710000000000001</v>
      </c>
      <c r="K19" s="9">
        <v>1.397</v>
      </c>
      <c r="L19" s="9">
        <v>3.7999999999999999E-2</v>
      </c>
      <c r="M19" s="9">
        <v>2.2890000000000001</v>
      </c>
      <c r="Q19" s="9">
        <v>2.1999999999999999E-2</v>
      </c>
      <c r="R19" s="9">
        <v>0.159</v>
      </c>
      <c r="S19" s="9">
        <v>96.394000000000005</v>
      </c>
      <c r="T19" s="9">
        <v>10582.6</v>
      </c>
      <c r="U19" s="9">
        <v>-1178.2</v>
      </c>
      <c r="V19" s="9">
        <v>237</v>
      </c>
      <c r="W19" s="9" t="s">
        <v>173</v>
      </c>
      <c r="X19" s="9">
        <v>150.28</v>
      </c>
      <c r="Y19" s="9">
        <v>12.377000000000001</v>
      </c>
      <c r="Z19" s="9">
        <v>16</v>
      </c>
      <c r="AA19" s="22">
        <v>43654.511076388888</v>
      </c>
    </row>
    <row r="20" spans="1:27" s="9" customFormat="1" ht="12.75">
      <c r="A20" s="9" t="s">
        <v>189</v>
      </c>
      <c r="B20" s="9" t="s">
        <v>173</v>
      </c>
      <c r="C20" s="9">
        <v>1.893</v>
      </c>
      <c r="D20" s="9">
        <v>14.47</v>
      </c>
      <c r="E20" s="9">
        <v>50.323</v>
      </c>
      <c r="F20" s="9">
        <v>0.30299999999999999</v>
      </c>
      <c r="G20" s="9">
        <v>10.167999999999999</v>
      </c>
      <c r="H20" s="9">
        <v>0.18099999999999999</v>
      </c>
      <c r="I20" s="9">
        <v>7.508</v>
      </c>
      <c r="J20" s="9">
        <v>7.9180000000000001</v>
      </c>
      <c r="K20" s="9">
        <v>1.4079999999999999</v>
      </c>
      <c r="L20" s="9">
        <v>4.9000000000000002E-2</v>
      </c>
      <c r="M20" s="9">
        <v>2.1709999999999998</v>
      </c>
      <c r="Q20" s="9">
        <v>3.9E-2</v>
      </c>
      <c r="R20" s="9">
        <v>0.18</v>
      </c>
      <c r="S20" s="9">
        <v>96.61</v>
      </c>
      <c r="T20" s="9">
        <v>10572.8</v>
      </c>
      <c r="U20" s="9">
        <v>-1176</v>
      </c>
      <c r="V20" s="9">
        <v>237</v>
      </c>
      <c r="W20" s="9" t="s">
        <v>173</v>
      </c>
      <c r="X20" s="9">
        <v>160.30000000000001</v>
      </c>
      <c r="Y20" s="9">
        <v>12.395</v>
      </c>
      <c r="Z20" s="9">
        <v>17</v>
      </c>
      <c r="AA20" s="22">
        <v>43654.517800925925</v>
      </c>
    </row>
    <row r="21" spans="1:27" s="9" customFormat="1" ht="12.75">
      <c r="A21" s="9" t="s">
        <v>190</v>
      </c>
      <c r="B21" s="9" t="s">
        <v>173</v>
      </c>
      <c r="C21" s="9">
        <v>1.9670000000000001</v>
      </c>
      <c r="D21" s="9">
        <v>14.509</v>
      </c>
      <c r="E21" s="9">
        <v>50.38</v>
      </c>
      <c r="F21" s="9">
        <v>0.28699999999999998</v>
      </c>
      <c r="G21" s="9">
        <v>10.148</v>
      </c>
      <c r="H21" s="9">
        <v>0.16700000000000001</v>
      </c>
      <c r="I21" s="9">
        <v>7.4909999999999997</v>
      </c>
      <c r="J21" s="9">
        <v>7.8810000000000002</v>
      </c>
      <c r="K21" s="9">
        <v>1.3839999999999999</v>
      </c>
      <c r="L21" s="9">
        <v>4.2000000000000003E-2</v>
      </c>
      <c r="M21" s="9">
        <v>2.0830000000000002</v>
      </c>
      <c r="Q21" s="9">
        <v>1.4E-2</v>
      </c>
      <c r="R21" s="9">
        <v>0.16200000000000001</v>
      </c>
      <c r="S21" s="9">
        <v>96.513999999999996</v>
      </c>
      <c r="T21" s="9">
        <v>10563</v>
      </c>
      <c r="U21" s="9">
        <v>-1173.7</v>
      </c>
      <c r="V21" s="9">
        <v>237</v>
      </c>
      <c r="W21" s="9" t="s">
        <v>173</v>
      </c>
      <c r="X21" s="9">
        <v>170.32</v>
      </c>
      <c r="Y21" s="9">
        <v>12.345000000000001</v>
      </c>
      <c r="Z21" s="9">
        <v>18</v>
      </c>
      <c r="AA21" s="22">
        <v>43654.524537037039</v>
      </c>
    </row>
    <row r="22" spans="1:27" s="9" customFormat="1" ht="12.75">
      <c r="A22" s="9" t="s">
        <v>191</v>
      </c>
      <c r="B22" s="9" t="s">
        <v>173</v>
      </c>
      <c r="C22" s="9">
        <v>1.909</v>
      </c>
      <c r="D22" s="9">
        <v>14.534000000000001</v>
      </c>
      <c r="E22" s="9">
        <v>50.284999999999997</v>
      </c>
      <c r="F22" s="9">
        <v>0.27700000000000002</v>
      </c>
      <c r="G22" s="9">
        <v>10.154999999999999</v>
      </c>
      <c r="H22" s="9">
        <v>0.17499999999999999</v>
      </c>
      <c r="I22" s="9">
        <v>7.5030000000000001</v>
      </c>
      <c r="J22" s="9">
        <v>7.9210000000000003</v>
      </c>
      <c r="K22" s="9">
        <v>1.391</v>
      </c>
      <c r="L22" s="9">
        <v>4.9000000000000002E-2</v>
      </c>
      <c r="M22" s="9">
        <v>1.9830000000000001</v>
      </c>
      <c r="Q22" s="9">
        <v>2.1000000000000001E-2</v>
      </c>
      <c r="R22" s="9">
        <v>0.16600000000000001</v>
      </c>
      <c r="S22" s="9">
        <v>96.369</v>
      </c>
      <c r="T22" s="9">
        <v>10553.3</v>
      </c>
      <c r="U22" s="9">
        <v>-1171.5</v>
      </c>
      <c r="V22" s="9">
        <v>237</v>
      </c>
      <c r="W22" s="9" t="s">
        <v>173</v>
      </c>
      <c r="X22" s="9">
        <v>180.34</v>
      </c>
      <c r="Y22" s="9">
        <v>12.315</v>
      </c>
      <c r="Z22" s="9">
        <v>19</v>
      </c>
      <c r="AA22" s="22">
        <v>43654.531261574077</v>
      </c>
    </row>
    <row r="23" spans="1:27" s="9" customFormat="1" ht="12.75">
      <c r="A23" s="9" t="s">
        <v>192</v>
      </c>
      <c r="B23" s="9" t="s">
        <v>173</v>
      </c>
      <c r="C23" s="9">
        <v>1.8520000000000001</v>
      </c>
      <c r="D23" s="9">
        <v>14.542999999999999</v>
      </c>
      <c r="E23" s="9">
        <v>50.448</v>
      </c>
      <c r="F23" s="9">
        <v>0.28100000000000003</v>
      </c>
      <c r="G23" s="9">
        <v>10.113</v>
      </c>
      <c r="H23" s="9">
        <v>0.124</v>
      </c>
      <c r="I23" s="9">
        <v>7.4850000000000003</v>
      </c>
      <c r="J23" s="9">
        <v>7.8849999999999998</v>
      </c>
      <c r="K23" s="9">
        <v>1.381</v>
      </c>
      <c r="L23" s="9">
        <v>4.7E-2</v>
      </c>
      <c r="M23" s="9">
        <v>1.8979999999999999</v>
      </c>
      <c r="Q23" s="9">
        <v>0.02</v>
      </c>
      <c r="R23" s="9">
        <v>0.17100000000000001</v>
      </c>
      <c r="S23" s="9">
        <v>96.248999999999995</v>
      </c>
      <c r="T23" s="9">
        <v>10543.5</v>
      </c>
      <c r="U23" s="9">
        <v>-1169.2</v>
      </c>
      <c r="V23" s="9">
        <v>237</v>
      </c>
      <c r="W23" s="9" t="s">
        <v>173</v>
      </c>
      <c r="X23" s="9">
        <v>190.36</v>
      </c>
      <c r="Y23" s="9">
        <v>12.275</v>
      </c>
      <c r="Z23" s="9">
        <v>20</v>
      </c>
      <c r="AA23" s="22">
        <v>43654.537986111114</v>
      </c>
    </row>
    <row r="24" spans="1:27" s="9" customFormat="1" ht="12.75">
      <c r="A24" s="9" t="s">
        <v>193</v>
      </c>
      <c r="B24" s="9" t="s">
        <v>173</v>
      </c>
      <c r="C24" s="9">
        <v>1.879</v>
      </c>
      <c r="D24" s="9">
        <v>14.574</v>
      </c>
      <c r="E24" s="9">
        <v>50.569000000000003</v>
      </c>
      <c r="F24" s="9">
        <v>0.29899999999999999</v>
      </c>
      <c r="G24" s="9">
        <v>10.172000000000001</v>
      </c>
      <c r="H24" s="9">
        <v>0.17100000000000001</v>
      </c>
      <c r="I24" s="9">
        <v>7.5069999999999997</v>
      </c>
      <c r="J24" s="9">
        <v>7.9459999999999997</v>
      </c>
      <c r="K24" s="9">
        <v>1.3759999999999999</v>
      </c>
      <c r="L24" s="9">
        <v>4.8000000000000001E-2</v>
      </c>
      <c r="M24" s="9">
        <v>1.792</v>
      </c>
      <c r="Q24" s="9">
        <v>0</v>
      </c>
      <c r="R24" s="9">
        <v>0.17699999999999999</v>
      </c>
      <c r="S24" s="9">
        <v>96.510999999999996</v>
      </c>
      <c r="T24" s="9">
        <v>10533.8</v>
      </c>
      <c r="U24" s="9">
        <v>-1167</v>
      </c>
      <c r="V24" s="9">
        <v>237</v>
      </c>
      <c r="W24" s="9" t="s">
        <v>173</v>
      </c>
      <c r="X24" s="9">
        <v>200.38</v>
      </c>
      <c r="Y24" s="9">
        <v>12.281000000000001</v>
      </c>
      <c r="Z24" s="9">
        <v>21</v>
      </c>
      <c r="AA24" s="22">
        <v>43654.544733796298</v>
      </c>
    </row>
    <row r="25" spans="1:27" s="9" customFormat="1" ht="12.75">
      <c r="A25" s="9" t="s">
        <v>194</v>
      </c>
      <c r="B25" s="9" t="s">
        <v>173</v>
      </c>
      <c r="C25" s="9">
        <v>1.907</v>
      </c>
      <c r="D25" s="9">
        <v>14.608000000000001</v>
      </c>
      <c r="E25" s="9">
        <v>50.622999999999998</v>
      </c>
      <c r="F25" s="9">
        <v>0.28399999999999997</v>
      </c>
      <c r="G25" s="9">
        <v>10.137</v>
      </c>
      <c r="H25" s="9">
        <v>0.189</v>
      </c>
      <c r="I25" s="9">
        <v>7.5490000000000004</v>
      </c>
      <c r="J25" s="9">
        <v>7.95</v>
      </c>
      <c r="K25" s="9">
        <v>1.381</v>
      </c>
      <c r="L25" s="9">
        <v>4.2000000000000003E-2</v>
      </c>
      <c r="M25" s="9">
        <v>1.732</v>
      </c>
      <c r="Q25" s="9">
        <v>8.9999999999999993E-3</v>
      </c>
      <c r="R25" s="9">
        <v>0.17299999999999999</v>
      </c>
      <c r="S25" s="9">
        <v>96.584000000000003</v>
      </c>
      <c r="T25" s="9">
        <v>10524</v>
      </c>
      <c r="U25" s="9">
        <v>-1164.7</v>
      </c>
      <c r="V25" s="9">
        <v>237</v>
      </c>
      <c r="W25" s="9" t="s">
        <v>173</v>
      </c>
      <c r="X25" s="9">
        <v>210.4</v>
      </c>
      <c r="Y25" s="9">
        <v>12.285</v>
      </c>
      <c r="Z25" s="9">
        <v>22</v>
      </c>
      <c r="AA25" s="22">
        <v>43654.551469907405</v>
      </c>
    </row>
    <row r="26" spans="1:27" s="9" customFormat="1" ht="12.75">
      <c r="A26" s="9" t="s">
        <v>195</v>
      </c>
      <c r="B26" s="9" t="s">
        <v>173</v>
      </c>
      <c r="C26" s="9">
        <v>1.9550000000000001</v>
      </c>
      <c r="D26" s="9">
        <v>14.628</v>
      </c>
      <c r="E26" s="9">
        <v>50.64</v>
      </c>
      <c r="F26" s="9">
        <v>0.28699999999999998</v>
      </c>
      <c r="G26" s="9">
        <v>10.1</v>
      </c>
      <c r="H26" s="9">
        <v>0.14199999999999999</v>
      </c>
      <c r="I26" s="9">
        <v>7.4429999999999996</v>
      </c>
      <c r="J26" s="9">
        <v>7.9180000000000001</v>
      </c>
      <c r="K26" s="9">
        <v>1.3819999999999999</v>
      </c>
      <c r="L26" s="9">
        <v>4.8000000000000001E-2</v>
      </c>
      <c r="M26" s="9">
        <v>1.6479999999999999</v>
      </c>
      <c r="Q26" s="9">
        <v>5.0000000000000001E-3</v>
      </c>
      <c r="R26" s="9">
        <v>0.16900000000000001</v>
      </c>
      <c r="S26" s="9">
        <v>96.366</v>
      </c>
      <c r="T26" s="9">
        <v>10514.2</v>
      </c>
      <c r="U26" s="9">
        <v>-1162.4000000000001</v>
      </c>
      <c r="V26" s="9">
        <v>237</v>
      </c>
      <c r="W26" s="9" t="s">
        <v>173</v>
      </c>
      <c r="X26" s="9">
        <v>220.42</v>
      </c>
      <c r="Y26" s="9">
        <v>12.223000000000001</v>
      </c>
      <c r="Z26" s="9">
        <v>23</v>
      </c>
      <c r="AA26" s="22">
        <v>43654.558194444442</v>
      </c>
    </row>
    <row r="27" spans="1:27" s="9" customFormat="1" ht="12.75">
      <c r="A27" s="9" t="s">
        <v>196</v>
      </c>
      <c r="B27" s="9" t="s">
        <v>173</v>
      </c>
      <c r="C27" s="9">
        <v>1.946</v>
      </c>
      <c r="D27" s="9">
        <v>14.722</v>
      </c>
      <c r="E27" s="9">
        <v>50.438000000000002</v>
      </c>
      <c r="F27" s="9">
        <v>0.28499999999999998</v>
      </c>
      <c r="G27" s="9">
        <v>10.105</v>
      </c>
      <c r="H27" s="9">
        <v>0.16300000000000001</v>
      </c>
      <c r="I27" s="9">
        <v>7.4349999999999996</v>
      </c>
      <c r="J27" s="9">
        <v>7.8879999999999999</v>
      </c>
      <c r="K27" s="9">
        <v>1.373</v>
      </c>
      <c r="L27" s="9">
        <v>4.2000000000000003E-2</v>
      </c>
      <c r="M27" s="9">
        <v>1.5820000000000001</v>
      </c>
      <c r="Q27" s="9">
        <v>4.0000000000000001E-3</v>
      </c>
      <c r="R27" s="9">
        <v>0.189</v>
      </c>
      <c r="S27" s="9">
        <v>96.173000000000002</v>
      </c>
      <c r="T27" s="9">
        <v>10504.5</v>
      </c>
      <c r="U27" s="9">
        <v>-1160.2</v>
      </c>
      <c r="V27" s="9">
        <v>237</v>
      </c>
      <c r="W27" s="9" t="s">
        <v>173</v>
      </c>
      <c r="X27" s="9">
        <v>230.43</v>
      </c>
      <c r="Y27" s="9">
        <v>12.189</v>
      </c>
      <c r="Z27" s="9">
        <v>24</v>
      </c>
      <c r="AA27" s="22">
        <v>43654.564930555556</v>
      </c>
    </row>
    <row r="28" spans="1:27" s="9" customFormat="1" ht="12.75">
      <c r="A28" s="9" t="s">
        <v>197</v>
      </c>
      <c r="B28" s="9" t="s">
        <v>173</v>
      </c>
      <c r="C28" s="9">
        <v>1.9970000000000001</v>
      </c>
      <c r="D28" s="9">
        <v>14.709</v>
      </c>
      <c r="E28" s="9">
        <v>50.658999999999999</v>
      </c>
      <c r="F28" s="9">
        <v>0.28699999999999998</v>
      </c>
      <c r="G28" s="9">
        <v>10.074</v>
      </c>
      <c r="H28" s="9">
        <v>0.16600000000000001</v>
      </c>
      <c r="I28" s="9">
        <v>7.41</v>
      </c>
      <c r="J28" s="9">
        <v>7.92</v>
      </c>
      <c r="K28" s="9">
        <v>1.377</v>
      </c>
      <c r="L28" s="9">
        <v>4.2999999999999997E-2</v>
      </c>
      <c r="M28" s="9">
        <v>1.4890000000000001</v>
      </c>
      <c r="Q28" s="9">
        <v>0</v>
      </c>
      <c r="R28" s="9">
        <v>0.17499999999999999</v>
      </c>
      <c r="S28" s="9">
        <v>96.305000000000007</v>
      </c>
      <c r="T28" s="9">
        <v>10494.7</v>
      </c>
      <c r="U28" s="9">
        <v>-1157.9000000000001</v>
      </c>
      <c r="V28" s="9">
        <v>237</v>
      </c>
      <c r="W28" s="9" t="s">
        <v>173</v>
      </c>
      <c r="X28" s="9">
        <v>240.45</v>
      </c>
      <c r="Y28" s="9">
        <v>12.177</v>
      </c>
      <c r="Z28" s="9">
        <v>25</v>
      </c>
      <c r="AA28" s="22">
        <v>43654.571643518517</v>
      </c>
    </row>
    <row r="29" spans="1:27" s="9" customFormat="1" ht="12.75">
      <c r="A29" s="9" t="s">
        <v>198</v>
      </c>
      <c r="B29" s="9" t="s">
        <v>173</v>
      </c>
      <c r="C29" s="9">
        <v>1.9119999999999999</v>
      </c>
      <c r="D29" s="9">
        <v>14.661</v>
      </c>
      <c r="E29" s="9">
        <v>50.698</v>
      </c>
      <c r="F29" s="9">
        <v>0.30599999999999999</v>
      </c>
      <c r="G29" s="9">
        <v>10.02</v>
      </c>
      <c r="H29" s="9">
        <v>0.17299999999999999</v>
      </c>
      <c r="I29" s="9">
        <v>7.4290000000000003</v>
      </c>
      <c r="J29" s="9">
        <v>7.883</v>
      </c>
      <c r="K29" s="9">
        <v>1.373</v>
      </c>
      <c r="L29" s="9">
        <v>4.5999999999999999E-2</v>
      </c>
      <c r="M29" s="9">
        <v>1.427</v>
      </c>
      <c r="Q29" s="9">
        <v>0.01</v>
      </c>
      <c r="R29" s="9">
        <v>0.188</v>
      </c>
      <c r="S29" s="9">
        <v>96.126000000000005</v>
      </c>
      <c r="T29" s="9">
        <v>10484.9</v>
      </c>
      <c r="U29" s="9">
        <v>-1155.7</v>
      </c>
      <c r="V29" s="9">
        <v>237</v>
      </c>
      <c r="W29" s="9" t="s">
        <v>173</v>
      </c>
      <c r="X29" s="9">
        <v>250.47</v>
      </c>
      <c r="Y29" s="9">
        <v>12.151999999999999</v>
      </c>
      <c r="Z29" s="9">
        <v>26</v>
      </c>
      <c r="AA29" s="22">
        <v>43654.578379629631</v>
      </c>
    </row>
    <row r="30" spans="1:27" s="9" customFormat="1" ht="12.75">
      <c r="A30" s="9" t="s">
        <v>199</v>
      </c>
      <c r="B30" s="9" t="s">
        <v>173</v>
      </c>
      <c r="C30" s="9">
        <v>1.901</v>
      </c>
      <c r="D30" s="9">
        <v>14.657</v>
      </c>
      <c r="E30" s="9">
        <v>50.652999999999999</v>
      </c>
      <c r="F30" s="9">
        <v>0.313</v>
      </c>
      <c r="G30" s="9">
        <v>10.154999999999999</v>
      </c>
      <c r="H30" s="9">
        <v>0.16300000000000001</v>
      </c>
      <c r="I30" s="9">
        <v>7.476</v>
      </c>
      <c r="J30" s="9">
        <v>7.9029999999999996</v>
      </c>
      <c r="K30" s="9">
        <v>1.367</v>
      </c>
      <c r="L30" s="9">
        <v>3.5999999999999997E-2</v>
      </c>
      <c r="M30" s="9">
        <v>1.375</v>
      </c>
      <c r="Q30" s="9">
        <v>7.0000000000000001E-3</v>
      </c>
      <c r="R30" s="9">
        <v>0.17899999999999999</v>
      </c>
      <c r="S30" s="9">
        <v>96.186000000000007</v>
      </c>
      <c r="T30" s="9">
        <v>10475.200000000001</v>
      </c>
      <c r="U30" s="9">
        <v>-1153.4000000000001</v>
      </c>
      <c r="V30" s="9">
        <v>237</v>
      </c>
      <c r="W30" s="9" t="s">
        <v>173</v>
      </c>
      <c r="X30" s="9">
        <v>260.49</v>
      </c>
      <c r="Y30" s="9">
        <v>12.157</v>
      </c>
      <c r="Z30" s="9">
        <v>27</v>
      </c>
      <c r="AA30" s="22">
        <v>43654.585092592592</v>
      </c>
    </row>
    <row r="31" spans="1:27" s="9" customFormat="1" ht="12.75">
      <c r="A31" s="9" t="s">
        <v>200</v>
      </c>
      <c r="B31" s="9" t="s">
        <v>173</v>
      </c>
      <c r="C31" s="9">
        <v>1.9730000000000001</v>
      </c>
      <c r="D31" s="9">
        <v>14.718999999999999</v>
      </c>
      <c r="E31" s="9">
        <v>50.597000000000001</v>
      </c>
      <c r="F31" s="9">
        <v>0.31</v>
      </c>
      <c r="G31" s="9">
        <v>10.209</v>
      </c>
      <c r="H31" s="9">
        <v>0.16300000000000001</v>
      </c>
      <c r="I31" s="9">
        <v>7.5039999999999996</v>
      </c>
      <c r="J31" s="9">
        <v>7.8680000000000003</v>
      </c>
      <c r="K31" s="9">
        <v>1.37</v>
      </c>
      <c r="L31" s="9">
        <v>3.4000000000000002E-2</v>
      </c>
      <c r="M31" s="9">
        <v>1.3080000000000001</v>
      </c>
      <c r="Q31" s="9">
        <v>0</v>
      </c>
      <c r="R31" s="9">
        <v>0.14599999999999999</v>
      </c>
      <c r="S31" s="9">
        <v>96.200999999999993</v>
      </c>
      <c r="T31" s="9">
        <v>10465.4</v>
      </c>
      <c r="U31" s="9">
        <v>-1151.2</v>
      </c>
      <c r="V31" s="9">
        <v>237</v>
      </c>
      <c r="W31" s="9" t="s">
        <v>173</v>
      </c>
      <c r="X31" s="9">
        <v>270.51</v>
      </c>
      <c r="Y31" s="9">
        <v>12.147</v>
      </c>
      <c r="Z31" s="9">
        <v>28</v>
      </c>
      <c r="AA31" s="22">
        <v>43654.591840277775</v>
      </c>
    </row>
    <row r="32" spans="1:27" s="9" customFormat="1" ht="12.75">
      <c r="A32" s="9" t="s">
        <v>201</v>
      </c>
      <c r="B32" s="9" t="s">
        <v>173</v>
      </c>
      <c r="C32" s="9">
        <v>1.8839999999999999</v>
      </c>
      <c r="D32" s="9">
        <v>14.797000000000001</v>
      </c>
      <c r="E32" s="9">
        <v>50.612000000000002</v>
      </c>
      <c r="F32" s="9">
        <v>0.28799999999999998</v>
      </c>
      <c r="G32" s="9">
        <v>10.211</v>
      </c>
      <c r="H32" s="9">
        <v>0.153</v>
      </c>
      <c r="I32" s="9">
        <v>7.3879999999999999</v>
      </c>
      <c r="J32" s="9">
        <v>7.84</v>
      </c>
      <c r="K32" s="9">
        <v>1.3839999999999999</v>
      </c>
      <c r="L32" s="9">
        <v>5.3999999999999999E-2</v>
      </c>
      <c r="M32" s="9">
        <v>1.2390000000000001</v>
      </c>
      <c r="Q32" s="9">
        <v>2.1000000000000001E-2</v>
      </c>
      <c r="R32" s="9">
        <v>0.155</v>
      </c>
      <c r="S32" s="9">
        <v>96.025999999999996</v>
      </c>
      <c r="T32" s="9">
        <v>10455.700000000001</v>
      </c>
      <c r="U32" s="9">
        <v>-1148.9000000000001</v>
      </c>
      <c r="V32" s="9">
        <v>237</v>
      </c>
      <c r="W32" s="9" t="s">
        <v>173</v>
      </c>
      <c r="X32" s="9">
        <v>280.52999999999997</v>
      </c>
      <c r="Y32" s="9">
        <v>12.112</v>
      </c>
      <c r="Z32" s="9">
        <v>29</v>
      </c>
      <c r="AA32" s="22">
        <v>43654.598587962966</v>
      </c>
    </row>
    <row r="33" spans="1:27" s="9" customFormat="1" ht="12.75">
      <c r="A33" s="9" t="s">
        <v>202</v>
      </c>
      <c r="B33" s="9" t="s">
        <v>173</v>
      </c>
      <c r="C33" s="9">
        <v>1.875</v>
      </c>
      <c r="D33" s="9">
        <v>14.827999999999999</v>
      </c>
      <c r="E33" s="9">
        <v>50.642000000000003</v>
      </c>
      <c r="F33" s="9">
        <v>0.29799999999999999</v>
      </c>
      <c r="G33" s="9">
        <v>10.071999999999999</v>
      </c>
      <c r="H33" s="9">
        <v>0.158</v>
      </c>
      <c r="I33" s="9">
        <v>7.4050000000000002</v>
      </c>
      <c r="J33" s="9">
        <v>7.85</v>
      </c>
      <c r="K33" s="9">
        <v>1.3779999999999999</v>
      </c>
      <c r="L33" s="9">
        <v>5.1999999999999998E-2</v>
      </c>
      <c r="M33" s="9">
        <v>1.1879999999999999</v>
      </c>
      <c r="Q33" s="9">
        <v>0</v>
      </c>
      <c r="R33" s="9">
        <v>0.17499999999999999</v>
      </c>
      <c r="S33" s="9">
        <v>95.918999999999997</v>
      </c>
      <c r="T33" s="9">
        <v>10445.9</v>
      </c>
      <c r="U33" s="9">
        <v>-1146.7</v>
      </c>
      <c r="V33" s="9">
        <v>237</v>
      </c>
      <c r="W33" s="9" t="s">
        <v>173</v>
      </c>
      <c r="X33" s="9">
        <v>290.55</v>
      </c>
      <c r="Y33" s="9">
        <v>12.073</v>
      </c>
      <c r="Z33" s="9">
        <v>30</v>
      </c>
      <c r="AA33" s="22">
        <v>43654.605300925927</v>
      </c>
    </row>
    <row r="34" spans="1:27" s="9" customFormat="1" ht="12.75">
      <c r="A34" s="9" t="s">
        <v>203</v>
      </c>
      <c r="B34" s="9" t="s">
        <v>173</v>
      </c>
      <c r="C34" s="9">
        <v>1.92</v>
      </c>
      <c r="D34" s="9">
        <v>14.824</v>
      </c>
      <c r="E34" s="9">
        <v>50.902999999999999</v>
      </c>
      <c r="F34" s="9">
        <v>0.30399999999999999</v>
      </c>
      <c r="G34" s="9">
        <v>10.134</v>
      </c>
      <c r="H34" s="9">
        <v>0.16400000000000001</v>
      </c>
      <c r="I34" s="9">
        <v>7.5140000000000002</v>
      </c>
      <c r="J34" s="9">
        <v>7.8579999999999997</v>
      </c>
      <c r="K34" s="9">
        <v>1.401</v>
      </c>
      <c r="L34" s="9">
        <v>4.2999999999999997E-2</v>
      </c>
      <c r="M34" s="9">
        <v>1.1379999999999999</v>
      </c>
      <c r="Q34" s="9">
        <v>0</v>
      </c>
      <c r="R34" s="9">
        <v>0.17599999999999999</v>
      </c>
      <c r="S34" s="9">
        <v>96.38</v>
      </c>
      <c r="T34" s="9">
        <v>10436.1</v>
      </c>
      <c r="U34" s="9">
        <v>-1144.4000000000001</v>
      </c>
      <c r="V34" s="9">
        <v>237</v>
      </c>
      <c r="W34" s="9" t="s">
        <v>173</v>
      </c>
      <c r="X34" s="9">
        <v>300.57</v>
      </c>
      <c r="Y34" s="9">
        <v>12.13</v>
      </c>
      <c r="Z34" s="9">
        <v>31</v>
      </c>
      <c r="AA34" s="22">
        <v>43654.61204861111</v>
      </c>
    </row>
    <row r="35" spans="1:27" s="9" customFormat="1" ht="12.75">
      <c r="A35" s="9" t="s">
        <v>204</v>
      </c>
      <c r="B35" s="9" t="s">
        <v>173</v>
      </c>
      <c r="C35" s="9">
        <v>1.895</v>
      </c>
      <c r="D35" s="9">
        <v>14.845000000000001</v>
      </c>
      <c r="E35" s="9">
        <v>50.804000000000002</v>
      </c>
      <c r="F35" s="9">
        <v>0.29499999999999998</v>
      </c>
      <c r="G35" s="9">
        <v>10.138</v>
      </c>
      <c r="H35" s="9">
        <v>0.18</v>
      </c>
      <c r="I35" s="9">
        <v>7.3869999999999996</v>
      </c>
      <c r="J35" s="9">
        <v>7.9279999999999999</v>
      </c>
      <c r="K35" s="9">
        <v>1.387</v>
      </c>
      <c r="L35" s="9">
        <v>4.1000000000000002E-2</v>
      </c>
      <c r="M35" s="9">
        <v>1.099</v>
      </c>
      <c r="Q35" s="9">
        <v>0</v>
      </c>
      <c r="R35" s="9">
        <v>0.187</v>
      </c>
      <c r="S35" s="9">
        <v>96.185000000000002</v>
      </c>
      <c r="T35" s="9">
        <v>10426.4</v>
      </c>
      <c r="U35" s="9">
        <v>-1142.2</v>
      </c>
      <c r="V35" s="9">
        <v>237</v>
      </c>
      <c r="W35" s="9" t="s">
        <v>173</v>
      </c>
      <c r="X35" s="9">
        <v>310.58</v>
      </c>
      <c r="Y35" s="9">
        <v>12.086</v>
      </c>
      <c r="Z35" s="9">
        <v>32</v>
      </c>
      <c r="AA35" s="22">
        <v>43654.618784722225</v>
      </c>
    </row>
    <row r="36" spans="1:27" s="9" customFormat="1" ht="12.75">
      <c r="A36" s="9" t="s">
        <v>205</v>
      </c>
      <c r="B36" s="9" t="s">
        <v>173</v>
      </c>
      <c r="C36" s="9">
        <v>1.8560000000000001</v>
      </c>
      <c r="D36" s="9">
        <v>14.846</v>
      </c>
      <c r="E36" s="9">
        <v>50.777999999999999</v>
      </c>
      <c r="F36" s="9">
        <v>0.316</v>
      </c>
      <c r="G36" s="9">
        <v>10.086</v>
      </c>
      <c r="H36" s="9">
        <v>0.16200000000000001</v>
      </c>
      <c r="I36" s="9">
        <v>7.4560000000000004</v>
      </c>
      <c r="J36" s="9">
        <v>7.7960000000000003</v>
      </c>
      <c r="K36" s="9">
        <v>1.391</v>
      </c>
      <c r="L36" s="9">
        <v>4.9000000000000002E-2</v>
      </c>
      <c r="M36" s="9">
        <v>1.04</v>
      </c>
      <c r="Q36" s="9">
        <v>2.8000000000000001E-2</v>
      </c>
      <c r="R36" s="9">
        <v>0.20399999999999999</v>
      </c>
      <c r="S36" s="9">
        <v>96.006</v>
      </c>
      <c r="T36" s="9">
        <v>10416.6</v>
      </c>
      <c r="U36" s="9">
        <v>-1139.9000000000001</v>
      </c>
      <c r="V36" s="9">
        <v>237</v>
      </c>
      <c r="W36" s="9" t="s">
        <v>173</v>
      </c>
      <c r="X36" s="9">
        <v>320.60000000000002</v>
      </c>
      <c r="Y36" s="9">
        <v>12.074999999999999</v>
      </c>
      <c r="Z36" s="9">
        <v>33</v>
      </c>
      <c r="AA36" s="22">
        <v>43654.625509259262</v>
      </c>
    </row>
    <row r="37" spans="1:27" s="9" customFormat="1" ht="12.75">
      <c r="A37" s="9" t="s">
        <v>206</v>
      </c>
      <c r="B37" s="9" t="s">
        <v>173</v>
      </c>
      <c r="C37" s="9">
        <v>1.931</v>
      </c>
      <c r="D37" s="9">
        <v>14.86</v>
      </c>
      <c r="E37" s="9">
        <v>50.762</v>
      </c>
      <c r="F37" s="9">
        <v>0.29899999999999999</v>
      </c>
      <c r="G37" s="9">
        <v>10.114000000000001</v>
      </c>
      <c r="H37" s="9">
        <v>0.14000000000000001</v>
      </c>
      <c r="I37" s="9">
        <v>7.452</v>
      </c>
      <c r="J37" s="9">
        <v>7.867</v>
      </c>
      <c r="K37" s="9">
        <v>1.38</v>
      </c>
      <c r="L37" s="9">
        <v>4.8000000000000001E-2</v>
      </c>
      <c r="M37" s="9">
        <v>0.997</v>
      </c>
      <c r="Q37" s="9">
        <v>0</v>
      </c>
      <c r="R37" s="9">
        <v>0.185</v>
      </c>
      <c r="S37" s="9">
        <v>96.036000000000001</v>
      </c>
      <c r="T37" s="9">
        <v>10406.799999999999</v>
      </c>
      <c r="U37" s="9">
        <v>-1137.7</v>
      </c>
      <c r="V37" s="9">
        <v>237</v>
      </c>
      <c r="W37" s="9" t="s">
        <v>173</v>
      </c>
      <c r="X37" s="9">
        <v>330.62</v>
      </c>
      <c r="Y37" s="9">
        <v>12.051</v>
      </c>
      <c r="Z37" s="9">
        <v>34</v>
      </c>
      <c r="AA37" s="22">
        <v>43654.632233796299</v>
      </c>
    </row>
    <row r="38" spans="1:27" s="9" customFormat="1" ht="12.75">
      <c r="A38" s="9" t="s">
        <v>207</v>
      </c>
      <c r="B38" s="9" t="s">
        <v>173</v>
      </c>
      <c r="C38" s="9">
        <v>1.861</v>
      </c>
      <c r="D38" s="9">
        <v>14.837</v>
      </c>
      <c r="E38" s="9">
        <v>50.624000000000002</v>
      </c>
      <c r="F38" s="9">
        <v>0.29399999999999998</v>
      </c>
      <c r="G38" s="9">
        <v>10.183</v>
      </c>
      <c r="H38" s="9">
        <v>0.14000000000000001</v>
      </c>
      <c r="I38" s="9">
        <v>7.3730000000000002</v>
      </c>
      <c r="J38" s="9">
        <v>7.8220000000000001</v>
      </c>
      <c r="K38" s="9">
        <v>1.3979999999999999</v>
      </c>
      <c r="L38" s="9">
        <v>4.3999999999999997E-2</v>
      </c>
      <c r="M38" s="9">
        <v>0.98499999999999999</v>
      </c>
      <c r="Q38" s="9">
        <v>0</v>
      </c>
      <c r="R38" s="9">
        <v>0.17199999999999999</v>
      </c>
      <c r="S38" s="9">
        <v>95.73</v>
      </c>
      <c r="T38" s="9">
        <v>10397.1</v>
      </c>
      <c r="U38" s="9">
        <v>-1135.4000000000001</v>
      </c>
      <c r="V38" s="9">
        <v>237</v>
      </c>
      <c r="W38" s="9" t="s">
        <v>173</v>
      </c>
      <c r="X38" s="9">
        <v>340.64</v>
      </c>
      <c r="Y38" s="9">
        <v>12.012</v>
      </c>
      <c r="Z38" s="9">
        <v>35</v>
      </c>
      <c r="AA38" s="22">
        <v>43654.638958333337</v>
      </c>
    </row>
    <row r="39" spans="1:27" s="9" customFormat="1" ht="12.75">
      <c r="A39" s="9" t="s">
        <v>208</v>
      </c>
      <c r="B39" s="9" t="s">
        <v>173</v>
      </c>
      <c r="C39" s="9">
        <v>1.915</v>
      </c>
      <c r="D39" s="9">
        <v>14.926</v>
      </c>
      <c r="E39" s="9">
        <v>50.576999999999998</v>
      </c>
      <c r="F39" s="9">
        <v>0.29199999999999998</v>
      </c>
      <c r="G39" s="9">
        <v>10.256</v>
      </c>
      <c r="H39" s="9">
        <v>0.15</v>
      </c>
      <c r="I39" s="9">
        <v>7.4059999999999997</v>
      </c>
      <c r="J39" s="9">
        <v>7.8860000000000001</v>
      </c>
      <c r="K39" s="9">
        <v>1.3959999999999999</v>
      </c>
      <c r="L39" s="9">
        <v>4.9000000000000002E-2</v>
      </c>
      <c r="M39" s="9">
        <v>0.90300000000000002</v>
      </c>
      <c r="Q39" s="9">
        <v>0</v>
      </c>
      <c r="R39" s="9">
        <v>0.182</v>
      </c>
      <c r="S39" s="9">
        <v>95.938999999999993</v>
      </c>
      <c r="T39" s="9">
        <v>10387.299999999999</v>
      </c>
      <c r="U39" s="9">
        <v>-1133.2</v>
      </c>
      <c r="V39" s="9">
        <v>237</v>
      </c>
      <c r="W39" s="9" t="s">
        <v>173</v>
      </c>
      <c r="X39" s="9">
        <v>350.66</v>
      </c>
      <c r="Y39" s="9">
        <v>12.026</v>
      </c>
      <c r="Z39" s="9">
        <v>36</v>
      </c>
      <c r="AA39" s="22">
        <v>43654.64571759259</v>
      </c>
    </row>
    <row r="40" spans="1:27" s="9" customFormat="1" ht="12.75">
      <c r="A40" s="9" t="s">
        <v>209</v>
      </c>
      <c r="B40" s="9" t="s">
        <v>173</v>
      </c>
      <c r="C40" s="9">
        <v>2.016</v>
      </c>
      <c r="D40" s="9">
        <v>14.803000000000001</v>
      </c>
      <c r="E40" s="9">
        <v>50.51</v>
      </c>
      <c r="F40" s="9">
        <v>0.308</v>
      </c>
      <c r="G40" s="9">
        <v>10.137</v>
      </c>
      <c r="H40" s="9">
        <v>0.14699999999999999</v>
      </c>
      <c r="I40" s="9">
        <v>7.4470000000000001</v>
      </c>
      <c r="J40" s="9">
        <v>7.9009999999999998</v>
      </c>
      <c r="K40" s="9">
        <v>1.3979999999999999</v>
      </c>
      <c r="L40" s="9">
        <v>3.5000000000000003E-2</v>
      </c>
      <c r="M40" s="9">
        <v>0.85899999999999999</v>
      </c>
      <c r="Q40" s="9">
        <v>0</v>
      </c>
      <c r="R40" s="9">
        <v>0.182</v>
      </c>
      <c r="S40" s="9">
        <v>95.744</v>
      </c>
      <c r="T40" s="9">
        <v>10377.6</v>
      </c>
      <c r="U40" s="9">
        <v>-1130.9000000000001</v>
      </c>
      <c r="V40" s="9">
        <v>237</v>
      </c>
      <c r="W40" s="9" t="s">
        <v>173</v>
      </c>
      <c r="X40" s="9">
        <v>360.68</v>
      </c>
      <c r="Y40" s="9">
        <v>11.992000000000001</v>
      </c>
      <c r="Z40" s="9">
        <v>37</v>
      </c>
      <c r="AA40" s="22">
        <v>43654.652430555558</v>
      </c>
    </row>
    <row r="41" spans="1:27" s="9" customFormat="1" ht="12.75">
      <c r="A41" s="9" t="s">
        <v>210</v>
      </c>
      <c r="B41" s="9" t="s">
        <v>173</v>
      </c>
      <c r="C41" s="9">
        <v>1.982</v>
      </c>
      <c r="D41" s="9">
        <v>14.842000000000001</v>
      </c>
      <c r="E41" s="9">
        <v>50.478000000000002</v>
      </c>
      <c r="F41" s="9">
        <v>0.32100000000000001</v>
      </c>
      <c r="G41" s="9">
        <v>10.125999999999999</v>
      </c>
      <c r="H41" s="9">
        <v>0.158</v>
      </c>
      <c r="I41" s="9">
        <v>7.4749999999999996</v>
      </c>
      <c r="J41" s="9">
        <v>7.8789999999999996</v>
      </c>
      <c r="K41" s="9">
        <v>1.3759999999999999</v>
      </c>
      <c r="L41" s="9">
        <v>4.3999999999999997E-2</v>
      </c>
      <c r="M41" s="9">
        <v>0.81699999999999995</v>
      </c>
      <c r="Q41" s="9">
        <v>0</v>
      </c>
      <c r="R41" s="9">
        <v>0.17399999999999999</v>
      </c>
      <c r="S41" s="9">
        <v>95.673000000000002</v>
      </c>
      <c r="T41" s="9">
        <v>10367.799999999999</v>
      </c>
      <c r="U41" s="9">
        <v>-1128.7</v>
      </c>
      <c r="V41" s="9">
        <v>237</v>
      </c>
      <c r="W41" s="9" t="s">
        <v>173</v>
      </c>
      <c r="X41" s="9">
        <v>370.7</v>
      </c>
      <c r="Y41" s="9">
        <v>11.98</v>
      </c>
      <c r="Z41" s="9">
        <v>38</v>
      </c>
      <c r="AA41" s="22">
        <v>43654.659166666665</v>
      </c>
    </row>
    <row r="42" spans="1:27" s="9" customFormat="1" ht="12.75">
      <c r="A42" s="9" t="s">
        <v>211</v>
      </c>
      <c r="B42" s="9" t="s">
        <v>173</v>
      </c>
      <c r="C42" s="9">
        <v>1.901</v>
      </c>
      <c r="D42" s="9">
        <v>14.932</v>
      </c>
      <c r="E42" s="9">
        <v>50.581000000000003</v>
      </c>
      <c r="F42" s="9">
        <v>0.28799999999999998</v>
      </c>
      <c r="G42" s="9">
        <v>10.058</v>
      </c>
      <c r="H42" s="9">
        <v>0.17100000000000001</v>
      </c>
      <c r="I42" s="9">
        <v>7.5330000000000004</v>
      </c>
      <c r="J42" s="9">
        <v>7.875</v>
      </c>
      <c r="K42" s="9">
        <v>1.403</v>
      </c>
      <c r="L42" s="9">
        <v>0.04</v>
      </c>
      <c r="M42" s="9">
        <v>0.80300000000000005</v>
      </c>
      <c r="Q42" s="9">
        <v>0</v>
      </c>
      <c r="R42" s="9">
        <v>0.19600000000000001</v>
      </c>
      <c r="S42" s="9">
        <v>95.781000000000006</v>
      </c>
      <c r="T42" s="9">
        <v>10358</v>
      </c>
      <c r="U42" s="9">
        <v>-1126.4000000000001</v>
      </c>
      <c r="V42" s="9">
        <v>237</v>
      </c>
      <c r="W42" s="9" t="s">
        <v>173</v>
      </c>
      <c r="X42" s="9">
        <v>380.72</v>
      </c>
      <c r="Y42" s="9">
        <v>11.992000000000001</v>
      </c>
      <c r="Z42" s="9">
        <v>39</v>
      </c>
      <c r="AA42" s="22">
        <v>43654.665902777779</v>
      </c>
    </row>
    <row r="43" spans="1:27" s="9" customFormat="1" ht="12.75">
      <c r="A43" s="9" t="s">
        <v>212</v>
      </c>
      <c r="B43" s="9" t="s">
        <v>173</v>
      </c>
      <c r="C43" s="9">
        <v>1.849</v>
      </c>
      <c r="D43" s="9">
        <v>15.010999999999999</v>
      </c>
      <c r="E43" s="9">
        <v>50.811999999999998</v>
      </c>
      <c r="F43" s="9">
        <v>0.30499999999999999</v>
      </c>
      <c r="G43" s="9">
        <v>10.087999999999999</v>
      </c>
      <c r="H43" s="9">
        <v>0.15</v>
      </c>
      <c r="I43" s="9">
        <v>7.5359999999999996</v>
      </c>
      <c r="J43" s="9">
        <v>7.9039999999999999</v>
      </c>
      <c r="K43" s="9">
        <v>1.3959999999999999</v>
      </c>
      <c r="L43" s="9">
        <v>4.5999999999999999E-2</v>
      </c>
      <c r="M43" s="9">
        <v>0.77300000000000002</v>
      </c>
      <c r="Q43" s="9">
        <v>0</v>
      </c>
      <c r="R43" s="9">
        <v>0.16900000000000001</v>
      </c>
      <c r="S43" s="9">
        <v>96.039000000000001</v>
      </c>
      <c r="T43" s="9">
        <v>10348.299999999999</v>
      </c>
      <c r="U43" s="9">
        <v>-1124.2</v>
      </c>
      <c r="V43" s="9">
        <v>237</v>
      </c>
      <c r="W43" s="9" t="s">
        <v>173</v>
      </c>
      <c r="X43" s="9">
        <v>390.74</v>
      </c>
      <c r="Y43" s="9">
        <v>12.015000000000001</v>
      </c>
      <c r="Z43" s="9">
        <v>40</v>
      </c>
      <c r="AA43" s="22">
        <v>43654.672615740739</v>
      </c>
    </row>
    <row r="44" spans="1:27" s="9" customFormat="1" ht="12.75">
      <c r="A44" s="9" t="s">
        <v>213</v>
      </c>
      <c r="B44" s="9" t="s">
        <v>173</v>
      </c>
      <c r="C44" s="9">
        <v>1.905</v>
      </c>
      <c r="D44" s="9">
        <v>14.99</v>
      </c>
      <c r="E44" s="9">
        <v>50.805</v>
      </c>
      <c r="F44" s="9">
        <v>0.30599999999999999</v>
      </c>
      <c r="G44" s="9">
        <v>10.196</v>
      </c>
      <c r="H44" s="9">
        <v>0.157</v>
      </c>
      <c r="I44" s="9">
        <v>7.5410000000000004</v>
      </c>
      <c r="J44" s="9">
        <v>7.8979999999999997</v>
      </c>
      <c r="K44" s="9">
        <v>1.375</v>
      </c>
      <c r="L44" s="9">
        <v>4.3999999999999997E-2</v>
      </c>
      <c r="M44" s="9">
        <v>0.748</v>
      </c>
      <c r="Q44" s="9">
        <v>0</v>
      </c>
      <c r="R44" s="9">
        <v>0.19</v>
      </c>
      <c r="S44" s="9">
        <v>96.153999999999996</v>
      </c>
      <c r="T44" s="9">
        <v>10338.5</v>
      </c>
      <c r="U44" s="9">
        <v>-1121.9000000000001</v>
      </c>
      <c r="V44" s="9">
        <v>237</v>
      </c>
      <c r="W44" s="9" t="s">
        <v>173</v>
      </c>
      <c r="X44" s="9">
        <v>400.75</v>
      </c>
      <c r="Y44" s="9">
        <v>12.028</v>
      </c>
      <c r="Z44" s="9">
        <v>41</v>
      </c>
      <c r="AA44" s="22">
        <v>43654.679363425923</v>
      </c>
    </row>
    <row r="45" spans="1:27" s="9" customFormat="1" ht="12.75">
      <c r="A45" s="9" t="s">
        <v>214</v>
      </c>
      <c r="B45" s="9" t="s">
        <v>173</v>
      </c>
      <c r="C45" s="9">
        <v>1.905</v>
      </c>
      <c r="D45" s="9">
        <v>14.997</v>
      </c>
      <c r="E45" s="9">
        <v>50.851999999999997</v>
      </c>
      <c r="F45" s="9">
        <v>0.29799999999999999</v>
      </c>
      <c r="G45" s="9">
        <v>10.141999999999999</v>
      </c>
      <c r="H45" s="9">
        <v>0.16600000000000001</v>
      </c>
      <c r="I45" s="9">
        <v>7.4470000000000001</v>
      </c>
      <c r="J45" s="9">
        <v>7.931</v>
      </c>
      <c r="K45" s="9">
        <v>1.407</v>
      </c>
      <c r="L45" s="9">
        <v>4.7E-2</v>
      </c>
      <c r="M45" s="9">
        <v>0.71099999999999997</v>
      </c>
      <c r="Q45" s="9">
        <v>0</v>
      </c>
      <c r="R45" s="9">
        <v>0.187</v>
      </c>
      <c r="S45" s="9">
        <v>96.09</v>
      </c>
      <c r="T45" s="9">
        <v>10328.700000000001</v>
      </c>
      <c r="U45" s="9">
        <v>-1119.5999999999999</v>
      </c>
      <c r="V45" s="9">
        <v>237</v>
      </c>
      <c r="W45" s="9" t="s">
        <v>173</v>
      </c>
      <c r="X45" s="9">
        <v>410.77</v>
      </c>
      <c r="Y45" s="9">
        <v>12.002000000000001</v>
      </c>
      <c r="Z45" s="9">
        <v>42</v>
      </c>
      <c r="AA45" s="22">
        <v>43654.68608796296</v>
      </c>
    </row>
    <row r="46" spans="1:27" s="9" customFormat="1" ht="12.75">
      <c r="A46" s="9" t="s">
        <v>215</v>
      </c>
      <c r="B46" s="9" t="s">
        <v>173</v>
      </c>
      <c r="C46" s="9">
        <v>1.845</v>
      </c>
      <c r="D46" s="9">
        <v>14.989000000000001</v>
      </c>
      <c r="E46" s="9">
        <v>50.837000000000003</v>
      </c>
      <c r="F46" s="9">
        <v>0.29899999999999999</v>
      </c>
      <c r="G46" s="9">
        <v>10.132999999999999</v>
      </c>
      <c r="H46" s="9">
        <v>0.17199999999999999</v>
      </c>
      <c r="I46" s="9">
        <v>7.4960000000000004</v>
      </c>
      <c r="J46" s="9">
        <v>7.9130000000000003</v>
      </c>
      <c r="K46" s="9">
        <v>1.365</v>
      </c>
      <c r="L46" s="9">
        <v>4.4999999999999998E-2</v>
      </c>
      <c r="M46" s="9">
        <v>0.68200000000000005</v>
      </c>
      <c r="Q46" s="9">
        <v>0</v>
      </c>
      <c r="R46" s="9">
        <v>0.16300000000000001</v>
      </c>
      <c r="S46" s="9">
        <v>95.941000000000003</v>
      </c>
      <c r="T46" s="9">
        <v>10319</v>
      </c>
      <c r="U46" s="9">
        <v>-1117.4000000000001</v>
      </c>
      <c r="V46" s="9">
        <v>237</v>
      </c>
      <c r="W46" s="9" t="s">
        <v>173</v>
      </c>
      <c r="X46" s="9">
        <v>420.79</v>
      </c>
      <c r="Y46" s="9">
        <v>11.984</v>
      </c>
      <c r="Z46" s="9">
        <v>43</v>
      </c>
      <c r="AA46" s="22">
        <v>43654.692800925928</v>
      </c>
    </row>
    <row r="47" spans="1:27" s="9" customFormat="1" ht="12.75">
      <c r="A47" s="9" t="s">
        <v>216</v>
      </c>
      <c r="B47" s="9" t="s">
        <v>173</v>
      </c>
      <c r="C47" s="9">
        <v>1.88</v>
      </c>
      <c r="D47" s="9">
        <v>14.987</v>
      </c>
      <c r="E47" s="9">
        <v>50.948</v>
      </c>
      <c r="F47" s="9">
        <v>0.29899999999999999</v>
      </c>
      <c r="G47" s="9">
        <v>10.14</v>
      </c>
      <c r="H47" s="9">
        <v>0.14799999999999999</v>
      </c>
      <c r="I47" s="9">
        <v>7.4569999999999999</v>
      </c>
      <c r="J47" s="9">
        <v>7.9409999999999998</v>
      </c>
      <c r="K47" s="9">
        <v>1.4039999999999999</v>
      </c>
      <c r="L47" s="9">
        <v>4.2000000000000003E-2</v>
      </c>
      <c r="M47" s="9">
        <v>0.67800000000000005</v>
      </c>
      <c r="Q47" s="9">
        <v>0</v>
      </c>
      <c r="R47" s="9">
        <v>0.20300000000000001</v>
      </c>
      <c r="S47" s="9">
        <v>96.128</v>
      </c>
      <c r="T47" s="9">
        <v>10309.200000000001</v>
      </c>
      <c r="U47" s="9">
        <v>-1115.0999999999999</v>
      </c>
      <c r="V47" s="9">
        <v>237</v>
      </c>
      <c r="W47" s="9" t="s">
        <v>173</v>
      </c>
      <c r="X47" s="9">
        <v>430.81</v>
      </c>
      <c r="Y47" s="9">
        <v>11.997999999999999</v>
      </c>
      <c r="Z47" s="9">
        <v>44</v>
      </c>
      <c r="AA47" s="22">
        <v>43654.699537037035</v>
      </c>
    </row>
    <row r="48" spans="1:27" s="9" customFormat="1" ht="12.75">
      <c r="A48" s="9" t="s">
        <v>217</v>
      </c>
      <c r="B48" s="9" t="s">
        <v>173</v>
      </c>
      <c r="C48" s="9">
        <v>1.944</v>
      </c>
      <c r="D48" s="9">
        <v>14.981</v>
      </c>
      <c r="E48" s="9">
        <v>50.847999999999999</v>
      </c>
      <c r="F48" s="9">
        <v>0.29799999999999999</v>
      </c>
      <c r="G48" s="9">
        <v>10.095000000000001</v>
      </c>
      <c r="H48" s="9">
        <v>0.16600000000000001</v>
      </c>
      <c r="I48" s="9">
        <v>7.5019999999999998</v>
      </c>
      <c r="J48" s="9">
        <v>7.931</v>
      </c>
      <c r="K48" s="9">
        <v>1.379</v>
      </c>
      <c r="L48" s="9">
        <v>3.9E-2</v>
      </c>
      <c r="M48" s="9">
        <v>0.63600000000000001</v>
      </c>
      <c r="Q48" s="9">
        <v>0</v>
      </c>
      <c r="R48" s="9">
        <v>0.16900000000000001</v>
      </c>
      <c r="S48" s="9">
        <v>95.99</v>
      </c>
      <c r="T48" s="9">
        <v>10299.5</v>
      </c>
      <c r="U48" s="9">
        <v>-1112.9000000000001</v>
      </c>
      <c r="V48" s="9">
        <v>237</v>
      </c>
      <c r="W48" s="9" t="s">
        <v>173</v>
      </c>
      <c r="X48" s="9">
        <v>440.83</v>
      </c>
      <c r="Y48" s="9">
        <v>11.977</v>
      </c>
      <c r="Z48" s="9">
        <v>45</v>
      </c>
      <c r="AA48" s="22">
        <v>43654.706284722219</v>
      </c>
    </row>
    <row r="49" spans="1:27" s="9" customFormat="1" ht="12.75">
      <c r="A49" s="9" t="s">
        <v>218</v>
      </c>
      <c r="B49" s="9" t="s">
        <v>173</v>
      </c>
      <c r="C49" s="9">
        <v>1.962</v>
      </c>
      <c r="D49" s="9">
        <v>14.974</v>
      </c>
      <c r="E49" s="9">
        <v>50.685000000000002</v>
      </c>
      <c r="F49" s="9">
        <v>0.31</v>
      </c>
      <c r="G49" s="9">
        <v>10.226000000000001</v>
      </c>
      <c r="H49" s="9">
        <v>0.158</v>
      </c>
      <c r="I49" s="9">
        <v>7.48</v>
      </c>
      <c r="J49" s="9">
        <v>7.89</v>
      </c>
      <c r="K49" s="9">
        <v>1.393</v>
      </c>
      <c r="L49" s="9">
        <v>4.7E-2</v>
      </c>
      <c r="M49" s="9">
        <v>0.621</v>
      </c>
      <c r="Q49" s="9">
        <v>0</v>
      </c>
      <c r="R49" s="9">
        <v>0.18099999999999999</v>
      </c>
      <c r="S49" s="9">
        <v>95.927000000000007</v>
      </c>
      <c r="T49" s="9">
        <v>10289.700000000001</v>
      </c>
      <c r="U49" s="9">
        <v>-1110.5999999999999</v>
      </c>
      <c r="V49" s="9">
        <v>237</v>
      </c>
      <c r="W49" s="9" t="s">
        <v>173</v>
      </c>
      <c r="X49" s="9">
        <v>450.85</v>
      </c>
      <c r="Y49" s="9">
        <v>11.973000000000001</v>
      </c>
      <c r="Z49" s="9">
        <v>46</v>
      </c>
      <c r="AA49" s="22">
        <v>43654.712997685187</v>
      </c>
    </row>
    <row r="50" spans="1:27" s="9" customFormat="1" ht="12.75">
      <c r="A50" s="9" t="s">
        <v>219</v>
      </c>
      <c r="B50" s="9" t="s">
        <v>173</v>
      </c>
      <c r="C50" s="9">
        <v>1.857</v>
      </c>
      <c r="D50" s="9">
        <v>15.051</v>
      </c>
      <c r="E50" s="9">
        <v>50.664999999999999</v>
      </c>
      <c r="F50" s="9">
        <v>0.29899999999999999</v>
      </c>
      <c r="G50" s="9">
        <v>10.186999999999999</v>
      </c>
      <c r="H50" s="9">
        <v>0.13500000000000001</v>
      </c>
      <c r="I50" s="9">
        <v>7.468</v>
      </c>
      <c r="J50" s="9">
        <v>7.9050000000000002</v>
      </c>
      <c r="K50" s="9">
        <v>1.3979999999999999</v>
      </c>
      <c r="L50" s="9">
        <v>4.2000000000000003E-2</v>
      </c>
      <c r="M50" s="9">
        <v>0.60299999999999998</v>
      </c>
      <c r="Q50" s="9">
        <v>2E-3</v>
      </c>
      <c r="R50" s="9">
        <v>0.193</v>
      </c>
      <c r="S50" s="9">
        <v>95.805000000000007</v>
      </c>
      <c r="T50" s="9">
        <v>10279.9</v>
      </c>
      <c r="U50" s="9">
        <v>-1108.4000000000001</v>
      </c>
      <c r="V50" s="9">
        <v>237</v>
      </c>
      <c r="W50" s="9" t="s">
        <v>173</v>
      </c>
      <c r="X50" s="9">
        <v>460.87</v>
      </c>
      <c r="Y50" s="9">
        <v>11.951000000000001</v>
      </c>
      <c r="Z50" s="9">
        <v>47</v>
      </c>
      <c r="AA50" s="22">
        <v>43654.71974537037</v>
      </c>
    </row>
    <row r="51" spans="1:27" s="9" customFormat="1" ht="12.75">
      <c r="A51" s="9" t="s">
        <v>220</v>
      </c>
      <c r="B51" s="9" t="s">
        <v>173</v>
      </c>
      <c r="C51" s="9">
        <v>1.9239999999999999</v>
      </c>
      <c r="D51" s="9">
        <v>14.93</v>
      </c>
      <c r="E51" s="9">
        <v>50.515000000000001</v>
      </c>
      <c r="F51" s="9">
        <v>0.31900000000000001</v>
      </c>
      <c r="G51" s="9">
        <v>10.188000000000001</v>
      </c>
      <c r="H51" s="9">
        <v>0.158</v>
      </c>
      <c r="I51" s="9">
        <v>7.5030000000000001</v>
      </c>
      <c r="J51" s="9">
        <v>7.94</v>
      </c>
      <c r="K51" s="9">
        <v>1.397</v>
      </c>
      <c r="L51" s="9">
        <v>0.04</v>
      </c>
      <c r="M51" s="9">
        <v>0.59099999999999997</v>
      </c>
      <c r="Q51" s="9">
        <v>0</v>
      </c>
      <c r="R51" s="9">
        <v>0.16300000000000001</v>
      </c>
      <c r="S51" s="9">
        <v>95.668000000000006</v>
      </c>
      <c r="T51" s="9">
        <v>10270.200000000001</v>
      </c>
      <c r="U51" s="9">
        <v>-1106.0999999999999</v>
      </c>
      <c r="V51" s="9">
        <v>237</v>
      </c>
      <c r="W51" s="9" t="s">
        <v>173</v>
      </c>
      <c r="X51" s="9">
        <v>470.89</v>
      </c>
      <c r="Y51" s="9">
        <v>11.94</v>
      </c>
      <c r="Z51" s="9">
        <v>48</v>
      </c>
      <c r="AA51" s="22">
        <v>43654.726481481484</v>
      </c>
    </row>
    <row r="52" spans="1:27" s="9" customFormat="1" ht="12.75">
      <c r="A52" s="9" t="s">
        <v>221</v>
      </c>
      <c r="B52" s="9" t="s">
        <v>173</v>
      </c>
      <c r="C52" s="9">
        <v>1.92</v>
      </c>
      <c r="D52" s="9">
        <v>15.031000000000001</v>
      </c>
      <c r="E52" s="9">
        <v>50.67</v>
      </c>
      <c r="F52" s="9">
        <v>0.32200000000000001</v>
      </c>
      <c r="G52" s="9">
        <v>10.194000000000001</v>
      </c>
      <c r="H52" s="9">
        <v>0.152</v>
      </c>
      <c r="I52" s="9">
        <v>7.4880000000000004</v>
      </c>
      <c r="J52" s="9">
        <v>7.8609999999999998</v>
      </c>
      <c r="K52" s="9">
        <v>1.3979999999999999</v>
      </c>
      <c r="L52" s="9">
        <v>4.5999999999999999E-2</v>
      </c>
      <c r="M52" s="9">
        <v>0.58499999999999996</v>
      </c>
      <c r="Q52" s="9">
        <v>0</v>
      </c>
      <c r="R52" s="9">
        <v>0.16500000000000001</v>
      </c>
      <c r="S52" s="9">
        <v>95.834000000000003</v>
      </c>
      <c r="T52" s="9">
        <v>10260.4</v>
      </c>
      <c r="U52" s="9">
        <v>-1103.9000000000001</v>
      </c>
      <c r="V52" s="9">
        <v>237</v>
      </c>
      <c r="W52" s="9" t="s">
        <v>173</v>
      </c>
      <c r="X52" s="9">
        <v>480.91</v>
      </c>
      <c r="Y52" s="9">
        <v>11.955</v>
      </c>
      <c r="Z52" s="9">
        <v>49</v>
      </c>
      <c r="AA52" s="22">
        <v>43654.733217592591</v>
      </c>
    </row>
    <row r="53" spans="1:27" s="9" customFormat="1" ht="12.75">
      <c r="A53" s="9" t="s">
        <v>222</v>
      </c>
      <c r="B53" s="9" t="s">
        <v>173</v>
      </c>
      <c r="C53" s="9">
        <v>2.008</v>
      </c>
      <c r="D53" s="9">
        <v>15.048</v>
      </c>
      <c r="E53" s="9">
        <v>50.631</v>
      </c>
      <c r="F53" s="9">
        <v>0.31900000000000001</v>
      </c>
      <c r="G53" s="9">
        <v>10.077</v>
      </c>
      <c r="H53" s="9">
        <v>0.16300000000000001</v>
      </c>
      <c r="I53" s="9">
        <v>7.4580000000000002</v>
      </c>
      <c r="J53" s="9">
        <v>7.9180000000000001</v>
      </c>
      <c r="K53" s="9">
        <v>1.3879999999999999</v>
      </c>
      <c r="L53" s="9">
        <v>0.05</v>
      </c>
      <c r="M53" s="9">
        <v>0.56200000000000006</v>
      </c>
      <c r="Q53" s="9">
        <v>0</v>
      </c>
      <c r="R53" s="9">
        <v>0.15</v>
      </c>
      <c r="S53" s="9">
        <v>95.772000000000006</v>
      </c>
      <c r="T53" s="9">
        <v>10250.6</v>
      </c>
      <c r="U53" s="9">
        <v>-1101.5999999999999</v>
      </c>
      <c r="V53" s="9">
        <v>237</v>
      </c>
      <c r="W53" s="9" t="s">
        <v>173</v>
      </c>
      <c r="X53" s="9">
        <v>490.92</v>
      </c>
      <c r="Y53" s="9">
        <v>11.933999999999999</v>
      </c>
      <c r="Z53" s="9">
        <v>50</v>
      </c>
      <c r="AA53" s="22">
        <v>43654.739965277775</v>
      </c>
    </row>
    <row r="54" spans="1:27" s="9" customFormat="1" ht="12.75">
      <c r="A54" s="9" t="s">
        <v>223</v>
      </c>
      <c r="B54" s="9" t="s">
        <v>173</v>
      </c>
      <c r="C54" s="9">
        <v>1.919</v>
      </c>
      <c r="D54" s="9">
        <v>15.012</v>
      </c>
      <c r="E54" s="9">
        <v>50.639000000000003</v>
      </c>
      <c r="F54" s="9">
        <v>0.307</v>
      </c>
      <c r="G54" s="9">
        <v>10.167</v>
      </c>
      <c r="H54" s="9">
        <v>0.161</v>
      </c>
      <c r="I54" s="9">
        <v>7.5010000000000003</v>
      </c>
      <c r="J54" s="9">
        <v>7.8929999999999998</v>
      </c>
      <c r="K54" s="9">
        <v>1.3979999999999999</v>
      </c>
      <c r="L54" s="9">
        <v>4.2999999999999997E-2</v>
      </c>
      <c r="M54" s="9">
        <v>0.55800000000000005</v>
      </c>
      <c r="Q54" s="9">
        <v>0</v>
      </c>
      <c r="R54" s="9">
        <v>0.188</v>
      </c>
      <c r="S54" s="9">
        <v>95.784999999999997</v>
      </c>
      <c r="T54" s="9">
        <v>10240.9</v>
      </c>
      <c r="U54" s="9">
        <v>-1099.4000000000001</v>
      </c>
      <c r="V54" s="9">
        <v>237</v>
      </c>
      <c r="W54" s="9" t="s">
        <v>173</v>
      </c>
      <c r="X54" s="9">
        <v>500.94</v>
      </c>
      <c r="Y54" s="9">
        <v>11.944000000000001</v>
      </c>
      <c r="Z54" s="9">
        <v>51</v>
      </c>
      <c r="AA54" s="22">
        <v>43654.746678240743</v>
      </c>
    </row>
    <row r="55" spans="1:27" s="9" customFormat="1" ht="12.75">
      <c r="A55" s="9" t="s">
        <v>224</v>
      </c>
      <c r="B55" s="9" t="s">
        <v>173</v>
      </c>
      <c r="C55" s="9">
        <v>1.84</v>
      </c>
      <c r="D55" s="9">
        <v>15.042</v>
      </c>
      <c r="E55" s="9">
        <v>50.701000000000001</v>
      </c>
      <c r="F55" s="9">
        <v>0.29699999999999999</v>
      </c>
      <c r="G55" s="9">
        <v>10.151</v>
      </c>
      <c r="H55" s="9">
        <v>0.17100000000000001</v>
      </c>
      <c r="I55" s="9">
        <v>7.5330000000000004</v>
      </c>
      <c r="J55" s="9">
        <v>7.9290000000000003</v>
      </c>
      <c r="K55" s="9">
        <v>1.389</v>
      </c>
      <c r="L55" s="9">
        <v>4.4999999999999998E-2</v>
      </c>
      <c r="M55" s="9">
        <v>0.54800000000000004</v>
      </c>
      <c r="Q55" s="9">
        <v>0</v>
      </c>
      <c r="R55" s="9">
        <v>0.17499999999999999</v>
      </c>
      <c r="S55" s="9">
        <v>95.822000000000003</v>
      </c>
      <c r="T55" s="9">
        <v>10231.1</v>
      </c>
      <c r="U55" s="9">
        <v>-1097.0999999999999</v>
      </c>
      <c r="V55" s="9">
        <v>237</v>
      </c>
      <c r="W55" s="9" t="s">
        <v>173</v>
      </c>
      <c r="X55" s="9">
        <v>510.96</v>
      </c>
      <c r="Y55" s="9">
        <v>11.949</v>
      </c>
      <c r="Z55" s="9">
        <v>52</v>
      </c>
      <c r="AA55" s="22">
        <v>43654.753425925926</v>
      </c>
    </row>
    <row r="56" spans="1:27" s="9" customFormat="1" ht="12.75">
      <c r="A56" s="9" t="s">
        <v>225</v>
      </c>
      <c r="B56" s="9" t="s">
        <v>173</v>
      </c>
      <c r="C56" s="9">
        <v>1.853</v>
      </c>
      <c r="D56" s="9">
        <v>15.012</v>
      </c>
      <c r="E56" s="9">
        <v>51.027999999999999</v>
      </c>
      <c r="F56" s="9">
        <v>0.28100000000000003</v>
      </c>
      <c r="G56" s="9">
        <v>10.087999999999999</v>
      </c>
      <c r="H56" s="9">
        <v>0.157</v>
      </c>
      <c r="I56" s="9">
        <v>7.5039999999999996</v>
      </c>
      <c r="J56" s="9">
        <v>7.9459999999999997</v>
      </c>
      <c r="K56" s="9">
        <v>1.39</v>
      </c>
      <c r="L56" s="9">
        <v>4.5999999999999999E-2</v>
      </c>
      <c r="M56" s="9">
        <v>0.54</v>
      </c>
      <c r="Q56" s="9">
        <v>0</v>
      </c>
      <c r="R56" s="9">
        <v>0.17599999999999999</v>
      </c>
      <c r="S56" s="9">
        <v>96.019000000000005</v>
      </c>
      <c r="T56" s="9">
        <v>10221.4</v>
      </c>
      <c r="U56" s="9">
        <v>-1094.9000000000001</v>
      </c>
      <c r="V56" s="9">
        <v>237</v>
      </c>
      <c r="W56" s="9" t="s">
        <v>173</v>
      </c>
      <c r="X56" s="9">
        <v>520.98</v>
      </c>
      <c r="Y56" s="9">
        <v>11.959</v>
      </c>
      <c r="Z56" s="9">
        <v>53</v>
      </c>
      <c r="AA56" s="22">
        <v>43654.760162037041</v>
      </c>
    </row>
    <row r="57" spans="1:27" s="9" customFormat="1" ht="12.75">
      <c r="A57" s="9" t="s">
        <v>226</v>
      </c>
      <c r="B57" s="9" t="s">
        <v>173</v>
      </c>
      <c r="C57" s="9">
        <v>1.911</v>
      </c>
      <c r="D57" s="9">
        <v>15.034000000000001</v>
      </c>
      <c r="E57" s="9">
        <v>50.914000000000001</v>
      </c>
      <c r="F57" s="9">
        <v>0.30599999999999999</v>
      </c>
      <c r="G57" s="9">
        <v>10.089</v>
      </c>
      <c r="H57" s="9">
        <v>0.17499999999999999</v>
      </c>
      <c r="I57" s="9">
        <v>7.6239999999999997</v>
      </c>
      <c r="J57" s="9">
        <v>8.0050000000000008</v>
      </c>
      <c r="K57" s="9">
        <v>1.401</v>
      </c>
      <c r="L57" s="9">
        <v>4.3999999999999997E-2</v>
      </c>
      <c r="M57" s="9">
        <v>0.53600000000000003</v>
      </c>
      <c r="Q57" s="9">
        <v>1.2999999999999999E-2</v>
      </c>
      <c r="R57" s="9">
        <v>0.182</v>
      </c>
      <c r="S57" s="9">
        <v>96.231999999999999</v>
      </c>
      <c r="T57" s="9">
        <v>10211.6</v>
      </c>
      <c r="U57" s="9">
        <v>-1092.5999999999999</v>
      </c>
      <c r="V57" s="9">
        <v>237</v>
      </c>
      <c r="W57" s="9" t="s">
        <v>173</v>
      </c>
      <c r="X57" s="9">
        <v>531</v>
      </c>
      <c r="Y57" s="9">
        <v>12.005000000000001</v>
      </c>
      <c r="Z57" s="9">
        <v>54</v>
      </c>
      <c r="AA57" s="22">
        <v>43654.766886574071</v>
      </c>
    </row>
    <row r="58" spans="1:27" s="9" customFormat="1" ht="12.75">
      <c r="A58" s="9" t="s">
        <v>227</v>
      </c>
      <c r="B58" s="9" t="s">
        <v>173</v>
      </c>
      <c r="C58" s="9">
        <v>1.8919999999999999</v>
      </c>
      <c r="D58" s="9">
        <v>15.01</v>
      </c>
      <c r="E58" s="9">
        <v>50.902999999999999</v>
      </c>
      <c r="F58" s="9">
        <v>0.309</v>
      </c>
      <c r="G58" s="9">
        <v>10.220000000000001</v>
      </c>
      <c r="H58" s="9">
        <v>0.16400000000000001</v>
      </c>
      <c r="I58" s="9">
        <v>7.4669999999999996</v>
      </c>
      <c r="J58" s="9">
        <v>7.92</v>
      </c>
      <c r="K58" s="9">
        <v>1.3939999999999999</v>
      </c>
      <c r="L58" s="9">
        <v>4.8000000000000001E-2</v>
      </c>
      <c r="M58" s="9">
        <v>0.53400000000000003</v>
      </c>
      <c r="Q58" s="9">
        <v>0</v>
      </c>
      <c r="R58" s="9">
        <v>0.18</v>
      </c>
      <c r="S58" s="9">
        <v>96.04</v>
      </c>
      <c r="T58" s="9">
        <v>10201.799999999999</v>
      </c>
      <c r="U58" s="9">
        <v>-1090.4000000000001</v>
      </c>
      <c r="V58" s="9">
        <v>237</v>
      </c>
      <c r="W58" s="9" t="s">
        <v>173</v>
      </c>
      <c r="X58" s="9">
        <v>541.02</v>
      </c>
      <c r="Y58" s="9">
        <v>11.965999999999999</v>
      </c>
      <c r="Z58" s="9">
        <v>55</v>
      </c>
      <c r="AA58" s="22">
        <v>43654.773611111108</v>
      </c>
    </row>
    <row r="59" spans="1:27" s="9" customFormat="1" ht="12.75">
      <c r="A59" s="9" t="s">
        <v>228</v>
      </c>
      <c r="B59" s="9" t="s">
        <v>173</v>
      </c>
      <c r="C59" s="9">
        <v>1.847</v>
      </c>
      <c r="D59" s="9">
        <v>15.065</v>
      </c>
      <c r="E59" s="9">
        <v>50.847999999999999</v>
      </c>
      <c r="F59" s="9">
        <v>0.311</v>
      </c>
      <c r="G59" s="9">
        <v>10.19</v>
      </c>
      <c r="H59" s="9">
        <v>0.17699999999999999</v>
      </c>
      <c r="I59" s="9">
        <v>7.5780000000000003</v>
      </c>
      <c r="J59" s="9">
        <v>7.9829999999999997</v>
      </c>
      <c r="K59" s="9">
        <v>1.4079999999999999</v>
      </c>
      <c r="L59" s="9">
        <v>4.2999999999999997E-2</v>
      </c>
      <c r="M59" s="9">
        <v>0.52500000000000002</v>
      </c>
      <c r="Q59" s="9">
        <v>0</v>
      </c>
      <c r="R59" s="9">
        <v>0.19700000000000001</v>
      </c>
      <c r="S59" s="9">
        <v>96.173000000000002</v>
      </c>
      <c r="T59" s="9">
        <v>10192.1</v>
      </c>
      <c r="U59" s="9">
        <v>-1088.0999999999999</v>
      </c>
      <c r="V59" s="9">
        <v>237</v>
      </c>
      <c r="W59" s="9" t="s">
        <v>173</v>
      </c>
      <c r="X59" s="9">
        <v>551.04</v>
      </c>
      <c r="Y59" s="9">
        <v>11.991</v>
      </c>
      <c r="Z59" s="9">
        <v>56</v>
      </c>
      <c r="AA59" s="22">
        <v>43654.780324074076</v>
      </c>
    </row>
    <row r="60" spans="1:27" s="9" customFormat="1" ht="12.75">
      <c r="A60" s="9" t="s">
        <v>229</v>
      </c>
      <c r="B60" s="9" t="s">
        <v>173</v>
      </c>
      <c r="C60" s="9">
        <v>2.1509999999999998</v>
      </c>
      <c r="D60" s="9">
        <v>14.943</v>
      </c>
      <c r="E60" s="9">
        <v>50.77</v>
      </c>
      <c r="F60" s="9">
        <v>0.318</v>
      </c>
      <c r="G60" s="9">
        <v>10.106</v>
      </c>
      <c r="H60" s="9">
        <v>0.14099999999999999</v>
      </c>
      <c r="I60" s="9">
        <v>7.492</v>
      </c>
      <c r="J60" s="9">
        <v>7.9340000000000002</v>
      </c>
      <c r="K60" s="9">
        <v>1.407</v>
      </c>
      <c r="L60" s="9">
        <v>0.04</v>
      </c>
      <c r="M60" s="9">
        <v>0.52200000000000002</v>
      </c>
      <c r="Q60" s="9">
        <v>0</v>
      </c>
      <c r="R60" s="9">
        <v>0.187</v>
      </c>
      <c r="S60" s="9">
        <v>96.010999999999996</v>
      </c>
      <c r="T60" s="9">
        <v>10182.299999999999</v>
      </c>
      <c r="U60" s="9">
        <v>-1085.9000000000001</v>
      </c>
      <c r="V60" s="9">
        <v>237</v>
      </c>
      <c r="W60" s="9" t="s">
        <v>173</v>
      </c>
      <c r="X60" s="9">
        <v>561.05999999999995</v>
      </c>
      <c r="Y60" s="9">
        <v>11.954000000000001</v>
      </c>
      <c r="Z60" s="9">
        <v>57</v>
      </c>
      <c r="AA60" s="22">
        <v>43654.787060185183</v>
      </c>
    </row>
    <row r="61" spans="1:27" s="9" customFormat="1" ht="12.75">
      <c r="A61" s="9" t="s">
        <v>230</v>
      </c>
      <c r="B61" s="9" t="s">
        <v>173</v>
      </c>
      <c r="C61" s="9">
        <v>1.861</v>
      </c>
      <c r="D61" s="9">
        <v>15.087</v>
      </c>
      <c r="E61" s="9">
        <v>50.899000000000001</v>
      </c>
      <c r="F61" s="9">
        <v>0.32600000000000001</v>
      </c>
      <c r="G61" s="9">
        <v>10.153</v>
      </c>
      <c r="H61" s="9">
        <v>0.153</v>
      </c>
      <c r="I61" s="9">
        <v>7.5359999999999996</v>
      </c>
      <c r="J61" s="9">
        <v>7.9740000000000002</v>
      </c>
      <c r="K61" s="9">
        <v>1.4119999999999999</v>
      </c>
      <c r="L61" s="9">
        <v>4.8000000000000001E-2</v>
      </c>
      <c r="M61" s="9">
        <v>0.51800000000000002</v>
      </c>
      <c r="Q61" s="9">
        <v>1.4E-2</v>
      </c>
      <c r="R61" s="9">
        <v>0.17599999999999999</v>
      </c>
      <c r="S61" s="9">
        <v>96.156999999999996</v>
      </c>
      <c r="T61" s="9">
        <v>10172.5</v>
      </c>
      <c r="U61" s="9">
        <v>-1083.5999999999999</v>
      </c>
      <c r="V61" s="9">
        <v>237</v>
      </c>
      <c r="W61" s="9" t="s">
        <v>173</v>
      </c>
      <c r="X61" s="9">
        <v>571.07000000000005</v>
      </c>
      <c r="Y61" s="9">
        <v>11.988</v>
      </c>
      <c r="Z61" s="9">
        <v>58</v>
      </c>
      <c r="AA61" s="22">
        <v>43654.793807870374</v>
      </c>
    </row>
    <row r="62" spans="1:27" s="9" customFormat="1" ht="12.75">
      <c r="A62" s="9" t="s">
        <v>231</v>
      </c>
      <c r="B62" s="9" t="s">
        <v>173</v>
      </c>
      <c r="C62" s="9">
        <v>1.873</v>
      </c>
      <c r="D62" s="9">
        <v>15.022</v>
      </c>
      <c r="E62" s="9">
        <v>50.969000000000001</v>
      </c>
      <c r="F62" s="9">
        <v>0.32300000000000001</v>
      </c>
      <c r="G62" s="9">
        <v>10.146000000000001</v>
      </c>
      <c r="H62" s="9">
        <v>0.16</v>
      </c>
      <c r="I62" s="9">
        <v>7.5</v>
      </c>
      <c r="J62" s="9">
        <v>7.9710000000000001</v>
      </c>
      <c r="K62" s="9">
        <v>1.397</v>
      </c>
      <c r="L62" s="9">
        <v>4.1000000000000002E-2</v>
      </c>
      <c r="M62" s="9">
        <v>0.52100000000000002</v>
      </c>
      <c r="Q62" s="9">
        <v>0</v>
      </c>
      <c r="R62" s="9">
        <v>0.17100000000000001</v>
      </c>
      <c r="S62" s="9">
        <v>96.093999999999994</v>
      </c>
      <c r="T62" s="9">
        <v>10162.799999999999</v>
      </c>
      <c r="U62" s="9">
        <v>-1081.4000000000001</v>
      </c>
      <c r="V62" s="9">
        <v>237</v>
      </c>
      <c r="W62" s="9" t="s">
        <v>173</v>
      </c>
      <c r="X62" s="9">
        <v>581.09</v>
      </c>
      <c r="Y62" s="9">
        <v>11.968999999999999</v>
      </c>
      <c r="Z62" s="9">
        <v>59</v>
      </c>
      <c r="AA62" s="22">
        <v>43654.800555555557</v>
      </c>
    </row>
    <row r="63" spans="1:27" s="9" customFormat="1" ht="12.75">
      <c r="A63" s="9" t="s">
        <v>232</v>
      </c>
      <c r="B63" s="9" t="s">
        <v>173</v>
      </c>
      <c r="C63" s="9">
        <v>1.8979999999999999</v>
      </c>
      <c r="D63" s="9">
        <v>14.955</v>
      </c>
      <c r="E63" s="9">
        <v>50.81</v>
      </c>
      <c r="F63" s="9">
        <v>0.31</v>
      </c>
      <c r="G63" s="9">
        <v>10.156000000000001</v>
      </c>
      <c r="H63" s="9">
        <v>0.14899999999999999</v>
      </c>
      <c r="I63" s="9">
        <v>7.6539999999999999</v>
      </c>
      <c r="J63" s="9">
        <v>7.931</v>
      </c>
      <c r="K63" s="9">
        <v>1.403</v>
      </c>
      <c r="L63" s="9">
        <v>4.3999999999999997E-2</v>
      </c>
      <c r="M63" s="9">
        <v>0.51500000000000001</v>
      </c>
      <c r="Q63" s="9">
        <v>0</v>
      </c>
      <c r="R63" s="9">
        <v>0.17100000000000001</v>
      </c>
      <c r="S63" s="9">
        <v>95.994</v>
      </c>
      <c r="T63" s="9">
        <v>10153</v>
      </c>
      <c r="U63" s="9">
        <v>-1079.0999999999999</v>
      </c>
      <c r="V63" s="9">
        <v>237</v>
      </c>
      <c r="W63" s="9" t="s">
        <v>173</v>
      </c>
      <c r="X63" s="9">
        <v>591.11</v>
      </c>
      <c r="Y63" s="9">
        <v>11.973000000000001</v>
      </c>
      <c r="Z63" s="9">
        <v>60</v>
      </c>
      <c r="AA63" s="22">
        <v>43654.807291666664</v>
      </c>
    </row>
    <row r="64" spans="1:27" s="9" customFormat="1" ht="12.75">
      <c r="A64" s="9" t="s">
        <v>233</v>
      </c>
      <c r="B64" s="9" t="s">
        <v>173</v>
      </c>
      <c r="C64" s="9">
        <v>1.9279999999999999</v>
      </c>
      <c r="D64" s="9">
        <v>14.973000000000001</v>
      </c>
      <c r="E64" s="9">
        <v>50.896999999999998</v>
      </c>
      <c r="F64" s="9">
        <v>0.30599999999999999</v>
      </c>
      <c r="G64" s="9">
        <v>10.247</v>
      </c>
      <c r="H64" s="9">
        <v>0.14099999999999999</v>
      </c>
      <c r="I64" s="9">
        <v>7.569</v>
      </c>
      <c r="J64" s="9">
        <v>7.9290000000000003</v>
      </c>
      <c r="K64" s="9">
        <v>1.409</v>
      </c>
      <c r="L64" s="9">
        <v>4.2000000000000003E-2</v>
      </c>
      <c r="M64" s="9">
        <v>0.51600000000000001</v>
      </c>
      <c r="Q64" s="9">
        <v>0</v>
      </c>
      <c r="R64" s="9">
        <v>0.193</v>
      </c>
      <c r="S64" s="9">
        <v>96.149000000000001</v>
      </c>
      <c r="T64" s="9">
        <v>10143.299999999999</v>
      </c>
      <c r="U64" s="9">
        <v>-1076.9000000000001</v>
      </c>
      <c r="V64" s="9">
        <v>237</v>
      </c>
      <c r="W64" s="9" t="s">
        <v>173</v>
      </c>
      <c r="X64" s="9">
        <v>601.13</v>
      </c>
      <c r="Y64" s="9">
        <v>11.984999999999999</v>
      </c>
      <c r="Z64" s="9">
        <v>61</v>
      </c>
      <c r="AA64" s="22">
        <v>43654.814027777778</v>
      </c>
    </row>
    <row r="65" spans="1:27" s="9" customFormat="1" ht="12.75">
      <c r="A65" s="9" t="s">
        <v>234</v>
      </c>
      <c r="B65" s="9" t="s">
        <v>173</v>
      </c>
      <c r="C65" s="9">
        <v>1.974</v>
      </c>
      <c r="D65" s="9">
        <v>15.02</v>
      </c>
      <c r="E65" s="9">
        <v>50.91</v>
      </c>
      <c r="F65" s="9">
        <v>0.29899999999999999</v>
      </c>
      <c r="G65" s="9">
        <v>10.185</v>
      </c>
      <c r="H65" s="9">
        <v>0.152</v>
      </c>
      <c r="I65" s="9">
        <v>7.5529999999999999</v>
      </c>
      <c r="J65" s="9">
        <v>7.9560000000000004</v>
      </c>
      <c r="K65" s="9">
        <v>1.4159999999999999</v>
      </c>
      <c r="L65" s="9">
        <v>3.9E-2</v>
      </c>
      <c r="M65" s="9">
        <v>0.51</v>
      </c>
      <c r="Q65" s="9">
        <v>3.5000000000000003E-2</v>
      </c>
      <c r="R65" s="9">
        <v>0.192</v>
      </c>
      <c r="S65" s="9">
        <v>96.241</v>
      </c>
      <c r="T65" s="9">
        <v>10133.5</v>
      </c>
      <c r="U65" s="9">
        <v>-1074.5999999999999</v>
      </c>
      <c r="V65" s="9">
        <v>237</v>
      </c>
      <c r="W65" s="9" t="s">
        <v>173</v>
      </c>
      <c r="X65" s="9">
        <v>611.15</v>
      </c>
      <c r="Y65" s="9">
        <v>12.007</v>
      </c>
      <c r="Z65" s="9">
        <v>62</v>
      </c>
      <c r="AA65" s="22">
        <v>43654.820763888885</v>
      </c>
    </row>
    <row r="66" spans="1:27" s="9" customFormat="1" ht="12.75">
      <c r="A66" s="9" t="s">
        <v>235</v>
      </c>
      <c r="B66" s="9" t="s">
        <v>173</v>
      </c>
      <c r="C66" s="9">
        <v>1.9530000000000001</v>
      </c>
      <c r="D66" s="9">
        <v>14.978</v>
      </c>
      <c r="E66" s="9">
        <v>50.969000000000001</v>
      </c>
      <c r="F66" s="9">
        <v>0.27700000000000002</v>
      </c>
      <c r="G66" s="9">
        <v>10.138999999999999</v>
      </c>
      <c r="H66" s="9">
        <v>0.18</v>
      </c>
      <c r="I66" s="9">
        <v>7.59</v>
      </c>
      <c r="J66" s="9">
        <v>7.9249999999999998</v>
      </c>
      <c r="K66" s="9">
        <v>1.3939999999999999</v>
      </c>
      <c r="L66" s="9">
        <v>4.2999999999999997E-2</v>
      </c>
      <c r="M66" s="9">
        <v>0.51400000000000001</v>
      </c>
      <c r="Q66" s="9">
        <v>5.0000000000000001E-3</v>
      </c>
      <c r="R66" s="9">
        <v>0.16500000000000001</v>
      </c>
      <c r="S66" s="9">
        <v>96.132000000000005</v>
      </c>
      <c r="T66" s="9">
        <v>10123.700000000001</v>
      </c>
      <c r="U66" s="9">
        <v>-1072.3</v>
      </c>
      <c r="V66" s="9">
        <v>237</v>
      </c>
      <c r="W66" s="9" t="s">
        <v>173</v>
      </c>
      <c r="X66" s="9">
        <v>621.16999999999996</v>
      </c>
      <c r="Y66" s="9">
        <v>11.983000000000001</v>
      </c>
      <c r="Z66" s="9">
        <v>63</v>
      </c>
      <c r="AA66" s="22">
        <v>43654.827499999999</v>
      </c>
    </row>
    <row r="67" spans="1:27" s="9" customFormat="1" ht="12.75">
      <c r="A67" s="9" t="s">
        <v>236</v>
      </c>
      <c r="B67" s="9" t="s">
        <v>173</v>
      </c>
      <c r="C67" s="9">
        <v>1.867</v>
      </c>
      <c r="D67" s="9">
        <v>15.034000000000001</v>
      </c>
      <c r="E67" s="9">
        <v>51.055999999999997</v>
      </c>
      <c r="F67" s="9">
        <v>0.313</v>
      </c>
      <c r="G67" s="9">
        <v>10.199999999999999</v>
      </c>
      <c r="H67" s="9">
        <v>0.155</v>
      </c>
      <c r="I67" s="9">
        <v>7.5010000000000003</v>
      </c>
      <c r="J67" s="9">
        <v>7.9619999999999997</v>
      </c>
      <c r="K67" s="9">
        <v>1.415</v>
      </c>
      <c r="L67" s="9">
        <v>0.04</v>
      </c>
      <c r="M67" s="9">
        <v>0.51500000000000001</v>
      </c>
      <c r="Q67" s="9">
        <v>0</v>
      </c>
      <c r="R67" s="9">
        <v>0.17100000000000001</v>
      </c>
      <c r="S67" s="9">
        <v>96.227000000000004</v>
      </c>
      <c r="T67" s="9">
        <v>10114</v>
      </c>
      <c r="U67" s="9">
        <v>-1070.0999999999999</v>
      </c>
      <c r="V67" s="9">
        <v>237</v>
      </c>
      <c r="W67" s="9" t="s">
        <v>173</v>
      </c>
      <c r="X67" s="9">
        <v>631.19000000000005</v>
      </c>
      <c r="Y67" s="9">
        <v>11.984999999999999</v>
      </c>
      <c r="Z67" s="9">
        <v>64</v>
      </c>
      <c r="AA67" s="22">
        <v>43654.834236111114</v>
      </c>
    </row>
    <row r="68" spans="1:27" s="9" customFormat="1" ht="12.75">
      <c r="A68" s="9" t="s">
        <v>237</v>
      </c>
      <c r="B68" s="9" t="s">
        <v>173</v>
      </c>
      <c r="C68" s="9">
        <v>2.133</v>
      </c>
      <c r="D68" s="9">
        <v>15.066000000000001</v>
      </c>
      <c r="E68" s="9">
        <v>51.084000000000003</v>
      </c>
      <c r="F68" s="9">
        <v>0.31900000000000001</v>
      </c>
      <c r="G68" s="9">
        <v>10.205</v>
      </c>
      <c r="H68" s="9">
        <v>0.151</v>
      </c>
      <c r="I68" s="9">
        <v>7.5170000000000003</v>
      </c>
      <c r="J68" s="9">
        <v>7.9530000000000003</v>
      </c>
      <c r="K68" s="9">
        <v>1.403</v>
      </c>
      <c r="L68" s="9">
        <v>4.2999999999999997E-2</v>
      </c>
      <c r="M68" s="9">
        <v>0.51</v>
      </c>
      <c r="Q68" s="9">
        <v>0</v>
      </c>
      <c r="R68" s="9">
        <v>0.16300000000000001</v>
      </c>
      <c r="S68" s="9">
        <v>96.546000000000006</v>
      </c>
      <c r="T68" s="9">
        <v>10104.200000000001</v>
      </c>
      <c r="U68" s="9">
        <v>-1067.8</v>
      </c>
      <c r="V68" s="9">
        <v>237</v>
      </c>
      <c r="W68" s="9" t="s">
        <v>173</v>
      </c>
      <c r="X68" s="9">
        <v>641.21</v>
      </c>
      <c r="Y68" s="9">
        <v>12.018000000000001</v>
      </c>
      <c r="Z68" s="9">
        <v>65</v>
      </c>
      <c r="AA68" s="22">
        <v>43654.840960648151</v>
      </c>
    </row>
    <row r="69" spans="1:27" s="9" customFormat="1" ht="12.75">
      <c r="A69" s="9" t="s">
        <v>238</v>
      </c>
      <c r="B69" s="9" t="s">
        <v>173</v>
      </c>
      <c r="C69" s="9">
        <v>2.0640000000000001</v>
      </c>
      <c r="D69" s="9">
        <v>15.026999999999999</v>
      </c>
      <c r="E69" s="9">
        <v>50.975999999999999</v>
      </c>
      <c r="F69" s="9">
        <v>0.29599999999999999</v>
      </c>
      <c r="G69" s="9">
        <v>10.182</v>
      </c>
      <c r="H69" s="9">
        <v>0.14599999999999999</v>
      </c>
      <c r="I69" s="9">
        <v>7.5469999999999997</v>
      </c>
      <c r="J69" s="9">
        <v>7.9710000000000001</v>
      </c>
      <c r="K69" s="9">
        <v>1.399</v>
      </c>
      <c r="L69" s="9">
        <v>4.1000000000000002E-2</v>
      </c>
      <c r="M69" s="9">
        <v>0.51100000000000001</v>
      </c>
      <c r="Q69" s="9">
        <v>0</v>
      </c>
      <c r="R69" s="9">
        <v>0.182</v>
      </c>
      <c r="S69" s="9">
        <v>96.341999999999999</v>
      </c>
      <c r="T69" s="9">
        <v>10094.5</v>
      </c>
      <c r="U69" s="9">
        <v>-1065.5999999999999</v>
      </c>
      <c r="V69" s="9">
        <v>237</v>
      </c>
      <c r="W69" s="9" t="s">
        <v>173</v>
      </c>
      <c r="X69" s="9">
        <v>651.23</v>
      </c>
      <c r="Y69" s="9">
        <v>11.997</v>
      </c>
      <c r="Z69" s="9">
        <v>66</v>
      </c>
      <c r="AA69" s="22">
        <v>43654.847696759258</v>
      </c>
    </row>
    <row r="70" spans="1:27" s="9" customFormat="1" ht="12.75">
      <c r="A70" s="9" t="s">
        <v>239</v>
      </c>
      <c r="B70" s="9" t="s">
        <v>173</v>
      </c>
      <c r="C70" s="9">
        <v>1.9670000000000001</v>
      </c>
      <c r="D70" s="9">
        <v>15.06</v>
      </c>
      <c r="E70" s="9">
        <v>50.985999999999997</v>
      </c>
      <c r="F70" s="9">
        <v>0.30599999999999999</v>
      </c>
      <c r="G70" s="9">
        <v>10.237</v>
      </c>
      <c r="H70" s="9">
        <v>0.184</v>
      </c>
      <c r="I70" s="9">
        <v>7.5910000000000002</v>
      </c>
      <c r="J70" s="9">
        <v>8.0039999999999996</v>
      </c>
      <c r="K70" s="9">
        <v>1.4119999999999999</v>
      </c>
      <c r="L70" s="9">
        <v>5.1999999999999998E-2</v>
      </c>
      <c r="M70" s="9">
        <v>0.51</v>
      </c>
      <c r="Q70" s="9">
        <v>0</v>
      </c>
      <c r="R70" s="9">
        <v>0.17899999999999999</v>
      </c>
      <c r="S70" s="9">
        <v>96.486999999999995</v>
      </c>
      <c r="T70" s="9">
        <v>10084.700000000001</v>
      </c>
      <c r="U70" s="9">
        <v>-1063.3</v>
      </c>
      <c r="V70" s="9">
        <v>237</v>
      </c>
      <c r="W70" s="9" t="s">
        <v>173</v>
      </c>
      <c r="X70" s="9">
        <v>661.24</v>
      </c>
      <c r="Y70" s="9">
        <v>12.026999999999999</v>
      </c>
      <c r="Z70" s="9">
        <v>67</v>
      </c>
      <c r="AA70" s="22">
        <v>43654.854409722226</v>
      </c>
    </row>
    <row r="71" spans="1:27" s="9" customFormat="1" ht="12.75">
      <c r="A71" s="9" t="s">
        <v>240</v>
      </c>
      <c r="B71" s="9" t="s">
        <v>173</v>
      </c>
      <c r="C71" s="9">
        <v>2.0099999999999998</v>
      </c>
      <c r="D71" s="9">
        <v>15.013</v>
      </c>
      <c r="E71" s="9">
        <v>50.801000000000002</v>
      </c>
      <c r="F71" s="9">
        <v>0.307</v>
      </c>
      <c r="G71" s="9">
        <v>10.259</v>
      </c>
      <c r="H71" s="9">
        <v>0.16</v>
      </c>
      <c r="I71" s="9">
        <v>7.585</v>
      </c>
      <c r="J71" s="9">
        <v>7.9640000000000004</v>
      </c>
      <c r="K71" s="9">
        <v>1.409</v>
      </c>
      <c r="L71" s="9">
        <v>0.05</v>
      </c>
      <c r="M71" s="9">
        <v>0.51300000000000001</v>
      </c>
      <c r="Q71" s="9">
        <v>1.4E-2</v>
      </c>
      <c r="R71" s="9">
        <v>0.192</v>
      </c>
      <c r="S71" s="9">
        <v>96.275999999999996</v>
      </c>
      <c r="T71" s="9">
        <v>10074.9</v>
      </c>
      <c r="U71" s="9">
        <v>-1061.0999999999999</v>
      </c>
      <c r="V71" s="9">
        <v>237</v>
      </c>
      <c r="W71" s="9" t="s">
        <v>173</v>
      </c>
      <c r="X71" s="9">
        <v>671.26</v>
      </c>
      <c r="Y71" s="9">
        <v>12.01</v>
      </c>
      <c r="Z71" s="9">
        <v>68</v>
      </c>
      <c r="AA71" s="22">
        <v>43654.861122685186</v>
      </c>
    </row>
    <row r="72" spans="1:27" s="9" customFormat="1" ht="12.75">
      <c r="A72" s="9" t="s">
        <v>241</v>
      </c>
      <c r="B72" s="9" t="s">
        <v>173</v>
      </c>
      <c r="C72" s="9">
        <v>2.2130000000000001</v>
      </c>
      <c r="D72" s="9">
        <v>14.999000000000001</v>
      </c>
      <c r="E72" s="9">
        <v>50.938000000000002</v>
      </c>
      <c r="F72" s="9">
        <v>0.30099999999999999</v>
      </c>
      <c r="G72" s="9">
        <v>10.257</v>
      </c>
      <c r="H72" s="9">
        <v>0.152</v>
      </c>
      <c r="I72" s="9">
        <v>7.524</v>
      </c>
      <c r="J72" s="9">
        <v>8.0289999999999999</v>
      </c>
      <c r="K72" s="9">
        <v>1.399</v>
      </c>
      <c r="L72" s="9">
        <v>4.8000000000000001E-2</v>
      </c>
      <c r="M72" s="9">
        <v>0.51100000000000001</v>
      </c>
      <c r="Q72" s="9">
        <v>0</v>
      </c>
      <c r="R72" s="9">
        <v>0.19900000000000001</v>
      </c>
      <c r="S72" s="9">
        <v>96.570999999999998</v>
      </c>
      <c r="T72" s="9">
        <v>10065.200000000001</v>
      </c>
      <c r="U72" s="9">
        <v>-1058.8</v>
      </c>
      <c r="V72" s="9">
        <v>237</v>
      </c>
      <c r="W72" s="9" t="s">
        <v>173</v>
      </c>
      <c r="X72" s="9">
        <v>681.28</v>
      </c>
      <c r="Y72" s="9">
        <v>12.023999999999999</v>
      </c>
      <c r="Z72" s="9">
        <v>69</v>
      </c>
      <c r="AA72" s="22">
        <v>43654.867824074077</v>
      </c>
    </row>
    <row r="73" spans="1:27" s="9" customFormat="1" ht="12.75">
      <c r="A73" s="9" t="s">
        <v>242</v>
      </c>
      <c r="B73" s="9" t="s">
        <v>173</v>
      </c>
      <c r="C73" s="9">
        <v>1.905</v>
      </c>
      <c r="D73" s="9">
        <v>15.095000000000001</v>
      </c>
      <c r="E73" s="9">
        <v>51.198</v>
      </c>
      <c r="F73" s="9">
        <v>0.312</v>
      </c>
      <c r="G73" s="9">
        <v>10.198</v>
      </c>
      <c r="H73" s="9">
        <v>0.17100000000000001</v>
      </c>
      <c r="I73" s="9">
        <v>7.5640000000000001</v>
      </c>
      <c r="J73" s="9">
        <v>7.9930000000000003</v>
      </c>
      <c r="K73" s="9">
        <v>1.4239999999999999</v>
      </c>
      <c r="L73" s="9">
        <v>4.3999999999999997E-2</v>
      </c>
      <c r="M73" s="9">
        <v>0.52100000000000002</v>
      </c>
      <c r="Q73" s="9">
        <v>6.0000000000000001E-3</v>
      </c>
      <c r="R73" s="9">
        <v>0.193</v>
      </c>
      <c r="S73" s="9">
        <v>96.623999999999995</v>
      </c>
      <c r="T73" s="9">
        <v>10055.4</v>
      </c>
      <c r="U73" s="9">
        <v>-1056.5999999999999</v>
      </c>
      <c r="V73" s="9">
        <v>237</v>
      </c>
      <c r="W73" s="9" t="s">
        <v>173</v>
      </c>
      <c r="X73" s="9">
        <v>691.3</v>
      </c>
      <c r="Y73" s="9">
        <v>12.041</v>
      </c>
      <c r="Z73" s="9">
        <v>70</v>
      </c>
      <c r="AA73" s="22">
        <v>43654.874571759261</v>
      </c>
    </row>
    <row r="74" spans="1:27" s="9" customFormat="1" ht="12.75">
      <c r="A74" s="9" t="s">
        <v>243</v>
      </c>
      <c r="B74" s="9" t="s">
        <v>173</v>
      </c>
      <c r="C74" s="9">
        <v>1.98</v>
      </c>
      <c r="D74" s="9">
        <v>15.019</v>
      </c>
      <c r="E74" s="9">
        <v>51.335000000000001</v>
      </c>
      <c r="F74" s="9">
        <v>0.32</v>
      </c>
      <c r="G74" s="9">
        <v>10.25</v>
      </c>
      <c r="H74" s="9">
        <v>0.14399999999999999</v>
      </c>
      <c r="I74" s="9">
        <v>7.5709999999999997</v>
      </c>
      <c r="J74" s="9">
        <v>7.9859999999999998</v>
      </c>
      <c r="K74" s="9">
        <v>1.4119999999999999</v>
      </c>
      <c r="L74" s="9">
        <v>4.2999999999999997E-2</v>
      </c>
      <c r="M74" s="9">
        <v>0.52</v>
      </c>
      <c r="Q74" s="9">
        <v>0</v>
      </c>
      <c r="R74" s="9">
        <v>0.19800000000000001</v>
      </c>
      <c r="S74" s="9">
        <v>96.777000000000001</v>
      </c>
      <c r="T74" s="9">
        <v>10045.6</v>
      </c>
      <c r="U74" s="9">
        <v>-1054.3</v>
      </c>
      <c r="V74" s="9">
        <v>237</v>
      </c>
      <c r="W74" s="9" t="s">
        <v>173</v>
      </c>
      <c r="X74" s="9">
        <v>701.32</v>
      </c>
      <c r="Y74" s="9">
        <v>12.055</v>
      </c>
      <c r="Z74" s="9">
        <v>71</v>
      </c>
      <c r="AA74" s="22">
        <v>43654.881307870368</v>
      </c>
    </row>
    <row r="75" spans="1:27" s="9" customFormat="1" ht="12.75">
      <c r="A75" s="9" t="s">
        <v>244</v>
      </c>
      <c r="B75" s="9" t="s">
        <v>173</v>
      </c>
      <c r="C75" s="9">
        <v>2.0449999999999999</v>
      </c>
      <c r="D75" s="9">
        <v>15.147</v>
      </c>
      <c r="E75" s="9">
        <v>51.002000000000002</v>
      </c>
      <c r="F75" s="9">
        <v>0.29399999999999998</v>
      </c>
      <c r="G75" s="9">
        <v>10.175000000000001</v>
      </c>
      <c r="H75" s="9">
        <v>0.16800000000000001</v>
      </c>
      <c r="I75" s="9">
        <v>7.6029999999999998</v>
      </c>
      <c r="J75" s="9">
        <v>8.0660000000000007</v>
      </c>
      <c r="K75" s="9">
        <v>1.411</v>
      </c>
      <c r="L75" s="9">
        <v>4.2999999999999997E-2</v>
      </c>
      <c r="M75" s="9">
        <v>0.51400000000000001</v>
      </c>
      <c r="Q75" s="9">
        <v>0</v>
      </c>
      <c r="R75" s="9">
        <v>0.192</v>
      </c>
      <c r="S75" s="9">
        <v>96.66</v>
      </c>
      <c r="T75" s="9">
        <v>10035.9</v>
      </c>
      <c r="U75" s="9">
        <v>-1052.0999999999999</v>
      </c>
      <c r="V75" s="9">
        <v>237</v>
      </c>
      <c r="W75" s="9" t="s">
        <v>173</v>
      </c>
      <c r="X75" s="9">
        <v>711.34</v>
      </c>
      <c r="Y75" s="9">
        <v>12.04</v>
      </c>
      <c r="Z75" s="9">
        <v>72</v>
      </c>
      <c r="AA75" s="22">
        <v>43654.888043981482</v>
      </c>
    </row>
    <row r="76" spans="1:27" s="9" customFormat="1" ht="12.75">
      <c r="A76" s="9" t="s">
        <v>245</v>
      </c>
      <c r="B76" s="9" t="s">
        <v>173</v>
      </c>
      <c r="C76" s="9">
        <v>1.9430000000000001</v>
      </c>
      <c r="D76" s="9">
        <v>15.026</v>
      </c>
      <c r="E76" s="9">
        <v>51.435000000000002</v>
      </c>
      <c r="F76" s="9">
        <v>0.314</v>
      </c>
      <c r="G76" s="9">
        <v>10.28</v>
      </c>
      <c r="H76" s="9">
        <v>0.17</v>
      </c>
      <c r="I76" s="9">
        <v>7.57</v>
      </c>
      <c r="J76" s="9">
        <v>8.0239999999999991</v>
      </c>
      <c r="K76" s="9">
        <v>1.3959999999999999</v>
      </c>
      <c r="L76" s="9">
        <v>4.8000000000000001E-2</v>
      </c>
      <c r="M76" s="9">
        <v>0.52400000000000002</v>
      </c>
      <c r="Q76" s="9">
        <v>0</v>
      </c>
      <c r="R76" s="9">
        <v>0.17599999999999999</v>
      </c>
      <c r="S76" s="9">
        <v>96.903999999999996</v>
      </c>
      <c r="T76" s="9">
        <v>10026.1</v>
      </c>
      <c r="U76" s="9">
        <v>-1049.8</v>
      </c>
      <c r="V76" s="9">
        <v>237</v>
      </c>
      <c r="W76" s="9" t="s">
        <v>173</v>
      </c>
      <c r="X76" s="9">
        <v>721.36</v>
      </c>
      <c r="Y76" s="9">
        <v>12.073</v>
      </c>
      <c r="Z76" s="9">
        <v>73</v>
      </c>
      <c r="AA76" s="22">
        <v>43654.894768518519</v>
      </c>
    </row>
    <row r="77" spans="1:27" s="9" customFormat="1" ht="12.75">
      <c r="A77" s="9" t="s">
        <v>246</v>
      </c>
      <c r="B77" s="9" t="s">
        <v>173</v>
      </c>
      <c r="C77" s="9">
        <v>1.9890000000000001</v>
      </c>
      <c r="D77" s="9">
        <v>15.037000000000001</v>
      </c>
      <c r="E77" s="9">
        <v>51.232999999999997</v>
      </c>
      <c r="F77" s="9">
        <v>0.30499999999999999</v>
      </c>
      <c r="G77" s="9">
        <v>10.266</v>
      </c>
      <c r="H77" s="9">
        <v>0.158</v>
      </c>
      <c r="I77" s="9">
        <v>7.62</v>
      </c>
      <c r="J77" s="9">
        <v>8.0220000000000002</v>
      </c>
      <c r="K77" s="9">
        <v>1.413</v>
      </c>
      <c r="L77" s="9">
        <v>3.9E-2</v>
      </c>
      <c r="M77" s="9">
        <v>0.51900000000000002</v>
      </c>
      <c r="Q77" s="9">
        <v>0</v>
      </c>
      <c r="R77" s="9">
        <v>0.187</v>
      </c>
      <c r="S77" s="9">
        <v>96.787999999999997</v>
      </c>
      <c r="T77" s="9">
        <v>10016.4</v>
      </c>
      <c r="U77" s="9">
        <v>-1047.5999999999999</v>
      </c>
      <c r="V77" s="9">
        <v>237</v>
      </c>
      <c r="W77" s="9" t="s">
        <v>173</v>
      </c>
      <c r="X77" s="9">
        <v>731.38</v>
      </c>
      <c r="Y77" s="9">
        <v>12.061999999999999</v>
      </c>
      <c r="Z77" s="9">
        <v>74</v>
      </c>
      <c r="AA77" s="22">
        <v>43654.901516203703</v>
      </c>
    </row>
    <row r="78" spans="1:27" s="9" customFormat="1" ht="12.75">
      <c r="A78" s="9" t="s">
        <v>247</v>
      </c>
      <c r="B78" s="9" t="s">
        <v>173</v>
      </c>
      <c r="C78" s="9">
        <v>2.0870000000000002</v>
      </c>
      <c r="D78" s="9">
        <v>15.05</v>
      </c>
      <c r="E78" s="9">
        <v>51.158999999999999</v>
      </c>
      <c r="F78" s="9">
        <v>0.315</v>
      </c>
      <c r="G78" s="9">
        <v>10.295</v>
      </c>
      <c r="H78" s="9">
        <v>0.16200000000000001</v>
      </c>
      <c r="I78" s="9">
        <v>7.64</v>
      </c>
      <c r="J78" s="9">
        <v>8.0850000000000009</v>
      </c>
      <c r="K78" s="9">
        <v>1.43</v>
      </c>
      <c r="L78" s="9">
        <v>4.2000000000000003E-2</v>
      </c>
      <c r="M78" s="9">
        <v>0.52200000000000002</v>
      </c>
      <c r="Q78" s="9">
        <v>0</v>
      </c>
      <c r="R78" s="9">
        <v>0.17299999999999999</v>
      </c>
      <c r="S78" s="9">
        <v>96.96</v>
      </c>
      <c r="T78" s="9">
        <v>10006.6</v>
      </c>
      <c r="U78" s="9">
        <v>-1045.3</v>
      </c>
      <c r="V78" s="9">
        <v>237</v>
      </c>
      <c r="W78" s="9" t="s">
        <v>173</v>
      </c>
      <c r="X78" s="9">
        <v>741.4</v>
      </c>
      <c r="Y78" s="9">
        <v>12.087</v>
      </c>
      <c r="Z78" s="9">
        <v>75</v>
      </c>
      <c r="AA78" s="22">
        <v>43654.908252314817</v>
      </c>
    </row>
    <row r="79" spans="1:27" s="9" customFormat="1" ht="12.75">
      <c r="A79" s="9" t="s">
        <v>248</v>
      </c>
      <c r="B79" s="9" t="s">
        <v>173</v>
      </c>
      <c r="C79" s="9">
        <v>2.052</v>
      </c>
      <c r="D79" s="9">
        <v>14.957000000000001</v>
      </c>
      <c r="E79" s="9">
        <v>51.201000000000001</v>
      </c>
      <c r="F79" s="9">
        <v>0.32100000000000001</v>
      </c>
      <c r="G79" s="9">
        <v>10.228</v>
      </c>
      <c r="H79" s="9">
        <v>0.17899999999999999</v>
      </c>
      <c r="I79" s="9">
        <v>7.5949999999999998</v>
      </c>
      <c r="J79" s="9">
        <v>7.9809999999999999</v>
      </c>
      <c r="K79" s="9">
        <v>1.425</v>
      </c>
      <c r="L79" s="9">
        <v>4.7E-2</v>
      </c>
      <c r="M79" s="9">
        <v>0.52100000000000002</v>
      </c>
      <c r="Q79" s="9">
        <v>0</v>
      </c>
      <c r="R79" s="9">
        <v>0.185</v>
      </c>
      <c r="S79" s="9">
        <v>96.692999999999998</v>
      </c>
      <c r="T79" s="9">
        <v>9996.7999999999993</v>
      </c>
      <c r="U79" s="9">
        <v>-1043.0999999999999</v>
      </c>
      <c r="V79" s="9">
        <v>237</v>
      </c>
      <c r="W79" s="9" t="s">
        <v>173</v>
      </c>
      <c r="X79" s="9">
        <v>751.41</v>
      </c>
      <c r="Y79" s="9">
        <v>12.052</v>
      </c>
      <c r="Z79" s="9">
        <v>76</v>
      </c>
      <c r="AA79" s="22">
        <v>43654.914988425924</v>
      </c>
    </row>
    <row r="80" spans="1:27" s="9" customFormat="1" ht="12.75">
      <c r="A80" s="9" t="s">
        <v>249</v>
      </c>
      <c r="B80" s="9" t="s">
        <v>173</v>
      </c>
      <c r="C80" s="9">
        <v>2.0590000000000002</v>
      </c>
      <c r="D80" s="9">
        <v>15.085000000000001</v>
      </c>
      <c r="E80" s="9">
        <v>51.218000000000004</v>
      </c>
      <c r="F80" s="9">
        <v>0.29399999999999998</v>
      </c>
      <c r="G80" s="9">
        <v>10.169</v>
      </c>
      <c r="H80" s="9">
        <v>0.17699999999999999</v>
      </c>
      <c r="I80" s="9">
        <v>7.5430000000000001</v>
      </c>
      <c r="J80" s="9">
        <v>7.9669999999999996</v>
      </c>
      <c r="K80" s="9">
        <v>1.419</v>
      </c>
      <c r="L80" s="9">
        <v>4.2000000000000003E-2</v>
      </c>
      <c r="M80" s="9">
        <v>0.51400000000000001</v>
      </c>
      <c r="Q80" s="9">
        <v>0</v>
      </c>
      <c r="R80" s="9">
        <v>0.187</v>
      </c>
      <c r="S80" s="9">
        <v>96.676000000000002</v>
      </c>
      <c r="T80" s="9">
        <v>9987.1</v>
      </c>
      <c r="U80" s="9">
        <v>-1040.8</v>
      </c>
      <c r="V80" s="9">
        <v>237</v>
      </c>
      <c r="W80" s="9" t="s">
        <v>173</v>
      </c>
      <c r="X80" s="9">
        <v>761.43</v>
      </c>
      <c r="Y80" s="9">
        <v>12.037000000000001</v>
      </c>
      <c r="Z80" s="9">
        <v>77</v>
      </c>
      <c r="AA80" s="22">
        <v>43654.921712962961</v>
      </c>
    </row>
    <row r="81" spans="1:27" s="9" customFormat="1" ht="12.75">
      <c r="A81" s="9" t="s">
        <v>250</v>
      </c>
      <c r="B81" s="9" t="s">
        <v>173</v>
      </c>
      <c r="C81" s="9">
        <v>2.0760000000000001</v>
      </c>
      <c r="D81" s="9">
        <v>15.041</v>
      </c>
      <c r="E81" s="9">
        <v>51.295000000000002</v>
      </c>
      <c r="F81" s="9">
        <v>0.317</v>
      </c>
      <c r="G81" s="9">
        <v>10.146000000000001</v>
      </c>
      <c r="H81" s="9">
        <v>0.16500000000000001</v>
      </c>
      <c r="I81" s="9">
        <v>7.66</v>
      </c>
      <c r="J81" s="9">
        <v>7.9660000000000002</v>
      </c>
      <c r="K81" s="9">
        <v>1.4039999999999999</v>
      </c>
      <c r="L81" s="9">
        <v>3.6999999999999998E-2</v>
      </c>
      <c r="M81" s="9">
        <v>0.52200000000000002</v>
      </c>
      <c r="Q81" s="9">
        <v>0</v>
      </c>
      <c r="R81" s="9">
        <v>0.21199999999999999</v>
      </c>
      <c r="S81" s="9">
        <v>96.840999999999994</v>
      </c>
      <c r="T81" s="9">
        <v>9977.2999999999993</v>
      </c>
      <c r="U81" s="9">
        <v>-1038.5999999999999</v>
      </c>
      <c r="V81" s="9">
        <v>237</v>
      </c>
      <c r="W81" s="9" t="s">
        <v>173</v>
      </c>
      <c r="X81" s="9">
        <v>771.45</v>
      </c>
      <c r="Y81" s="9">
        <v>12.067</v>
      </c>
      <c r="Z81" s="9">
        <v>78</v>
      </c>
      <c r="AA81" s="22">
        <v>43654.928425925929</v>
      </c>
    </row>
    <row r="82" spans="1:27" s="9" customFormat="1" ht="12.75">
      <c r="A82" s="9" t="s">
        <v>251</v>
      </c>
      <c r="B82" s="9" t="s">
        <v>173</v>
      </c>
      <c r="C82" s="9">
        <v>2.0299999999999998</v>
      </c>
      <c r="D82" s="9">
        <v>15.09</v>
      </c>
      <c r="E82" s="9">
        <v>51.264000000000003</v>
      </c>
      <c r="F82" s="9">
        <v>0.317</v>
      </c>
      <c r="G82" s="9">
        <v>10.207000000000001</v>
      </c>
      <c r="H82" s="9">
        <v>0.17599999999999999</v>
      </c>
      <c r="I82" s="9">
        <v>7.5490000000000004</v>
      </c>
      <c r="J82" s="9">
        <v>7.9859999999999998</v>
      </c>
      <c r="K82" s="9">
        <v>1.4279999999999999</v>
      </c>
      <c r="L82" s="9">
        <v>3.6999999999999998E-2</v>
      </c>
      <c r="M82" s="9">
        <v>0.52100000000000002</v>
      </c>
      <c r="Q82" s="9">
        <v>0</v>
      </c>
      <c r="R82" s="9">
        <v>0.156</v>
      </c>
      <c r="S82" s="9">
        <v>96.76</v>
      </c>
      <c r="T82" s="9">
        <v>9967.5</v>
      </c>
      <c r="U82" s="9">
        <v>-1036.3</v>
      </c>
      <c r="V82" s="9">
        <v>237</v>
      </c>
      <c r="W82" s="9" t="s">
        <v>173</v>
      </c>
      <c r="X82" s="9">
        <v>781.47</v>
      </c>
      <c r="Y82" s="9">
        <v>12.051</v>
      </c>
      <c r="Z82" s="9">
        <v>79</v>
      </c>
      <c r="AA82" s="22">
        <v>43654.935162037036</v>
      </c>
    </row>
    <row r="83" spans="1:27" s="9" customFormat="1" ht="12.75">
      <c r="A83" s="9" t="s">
        <v>252</v>
      </c>
      <c r="B83" s="9" t="s">
        <v>173</v>
      </c>
      <c r="C83" s="9">
        <v>2.0859999999999999</v>
      </c>
      <c r="D83" s="9">
        <v>15.009</v>
      </c>
      <c r="E83" s="9">
        <v>51.293999999999997</v>
      </c>
      <c r="F83" s="9">
        <v>0.32</v>
      </c>
      <c r="G83" s="9">
        <v>10.279</v>
      </c>
      <c r="H83" s="9">
        <v>0.16200000000000001</v>
      </c>
      <c r="I83" s="9">
        <v>7.61</v>
      </c>
      <c r="J83" s="9">
        <v>8.0289999999999999</v>
      </c>
      <c r="K83" s="9">
        <v>1.419</v>
      </c>
      <c r="L83" s="9">
        <v>4.8000000000000001E-2</v>
      </c>
      <c r="M83" s="9">
        <v>0.52400000000000002</v>
      </c>
      <c r="Q83" s="9">
        <v>0</v>
      </c>
      <c r="R83" s="9">
        <v>0.17599999999999999</v>
      </c>
      <c r="S83" s="9">
        <v>96.956999999999994</v>
      </c>
      <c r="T83" s="9">
        <v>9957.7999999999993</v>
      </c>
      <c r="U83" s="9">
        <v>-1034.0999999999999</v>
      </c>
      <c r="V83" s="9">
        <v>237</v>
      </c>
      <c r="W83" s="9" t="s">
        <v>173</v>
      </c>
      <c r="X83" s="9">
        <v>791.49</v>
      </c>
      <c r="Y83" s="9">
        <v>12.083</v>
      </c>
      <c r="Z83" s="9">
        <v>80</v>
      </c>
      <c r="AA83" s="22">
        <v>43654.941886574074</v>
      </c>
    </row>
    <row r="84" spans="1:27" s="9" customFormat="1" ht="12.75">
      <c r="A84" s="9" t="s">
        <v>253</v>
      </c>
      <c r="B84" s="9" t="s">
        <v>173</v>
      </c>
      <c r="C84" s="9">
        <v>2.0499999999999998</v>
      </c>
      <c r="D84" s="9">
        <v>15.069000000000001</v>
      </c>
      <c r="E84" s="9">
        <v>51.304000000000002</v>
      </c>
      <c r="F84" s="9">
        <v>0.30599999999999999</v>
      </c>
      <c r="G84" s="9">
        <v>10.282</v>
      </c>
      <c r="H84" s="9">
        <v>0.157</v>
      </c>
      <c r="I84" s="9">
        <v>7.6740000000000004</v>
      </c>
      <c r="J84" s="9">
        <v>8.0220000000000002</v>
      </c>
      <c r="K84" s="9">
        <v>1.419</v>
      </c>
      <c r="L84" s="9">
        <v>4.9000000000000002E-2</v>
      </c>
      <c r="M84" s="9">
        <v>0.52800000000000002</v>
      </c>
      <c r="Q84" s="9">
        <v>3.0000000000000001E-3</v>
      </c>
      <c r="R84" s="9">
        <v>0.187</v>
      </c>
      <c r="S84" s="9">
        <v>97.05</v>
      </c>
      <c r="T84" s="9">
        <v>9948</v>
      </c>
      <c r="U84" s="9">
        <v>-1031.8</v>
      </c>
      <c r="V84" s="9">
        <v>237</v>
      </c>
      <c r="W84" s="9" t="s">
        <v>173</v>
      </c>
      <c r="X84" s="9">
        <v>801.51</v>
      </c>
      <c r="Y84" s="9">
        <v>12.102</v>
      </c>
      <c r="Z84" s="9">
        <v>81</v>
      </c>
      <c r="AA84" s="22">
        <v>43654.948622685188</v>
      </c>
    </row>
    <row r="85" spans="1:27" s="9" customFormat="1" ht="12.75">
      <c r="A85" s="9" t="s">
        <v>254</v>
      </c>
      <c r="B85" s="9" t="s">
        <v>173</v>
      </c>
      <c r="C85" s="9">
        <v>1.9179999999999999</v>
      </c>
      <c r="D85" s="9">
        <v>15.085000000000001</v>
      </c>
      <c r="E85" s="9">
        <v>51.348999999999997</v>
      </c>
      <c r="F85" s="9">
        <v>0.314</v>
      </c>
      <c r="G85" s="9">
        <v>10.34</v>
      </c>
      <c r="H85" s="9">
        <v>0.16200000000000001</v>
      </c>
      <c r="I85" s="9">
        <v>7.5940000000000003</v>
      </c>
      <c r="J85" s="9">
        <v>8.0079999999999991</v>
      </c>
      <c r="K85" s="9">
        <v>1.409</v>
      </c>
      <c r="L85" s="9">
        <v>4.3999999999999997E-2</v>
      </c>
      <c r="M85" s="9">
        <v>0.53</v>
      </c>
      <c r="Q85" s="9">
        <v>1.7999999999999999E-2</v>
      </c>
      <c r="R85" s="9">
        <v>0.191</v>
      </c>
      <c r="S85" s="9">
        <v>96.963999999999999</v>
      </c>
      <c r="T85" s="9">
        <v>9938.2000000000007</v>
      </c>
      <c r="U85" s="9">
        <v>-1029.5999999999999</v>
      </c>
      <c r="V85" s="9">
        <v>237</v>
      </c>
      <c r="W85" s="9" t="s">
        <v>173</v>
      </c>
      <c r="X85" s="9">
        <v>811.53</v>
      </c>
      <c r="Y85" s="9">
        <v>12.096</v>
      </c>
      <c r="Z85" s="9">
        <v>82</v>
      </c>
      <c r="AA85" s="22">
        <v>43654.955381944441</v>
      </c>
    </row>
    <row r="86" spans="1:27" s="9" customFormat="1" ht="12.75">
      <c r="A86" s="9" t="s">
        <v>255</v>
      </c>
      <c r="B86" s="9" t="s">
        <v>173</v>
      </c>
      <c r="C86" s="9">
        <v>1.9890000000000001</v>
      </c>
      <c r="D86" s="9">
        <v>15.103</v>
      </c>
      <c r="E86" s="9">
        <v>51.526000000000003</v>
      </c>
      <c r="F86" s="9">
        <v>0.309</v>
      </c>
      <c r="G86" s="9">
        <v>10.209</v>
      </c>
      <c r="H86" s="9">
        <v>0.14899999999999999</v>
      </c>
      <c r="I86" s="9">
        <v>7.6369999999999996</v>
      </c>
      <c r="J86" s="9">
        <v>8.1229999999999993</v>
      </c>
      <c r="K86" s="9">
        <v>1.41</v>
      </c>
      <c r="L86" s="9">
        <v>4.5999999999999999E-2</v>
      </c>
      <c r="M86" s="9">
        <v>0.52600000000000002</v>
      </c>
      <c r="Q86" s="9">
        <v>0</v>
      </c>
      <c r="R86" s="9">
        <v>0.19</v>
      </c>
      <c r="S86" s="9">
        <v>97.215999999999994</v>
      </c>
      <c r="T86" s="9">
        <v>9928.5</v>
      </c>
      <c r="U86" s="9">
        <v>-1027.3</v>
      </c>
      <c r="V86" s="9">
        <v>237</v>
      </c>
      <c r="W86" s="9" t="s">
        <v>173</v>
      </c>
      <c r="X86" s="9">
        <v>821.55</v>
      </c>
      <c r="Y86" s="9">
        <v>12.108000000000001</v>
      </c>
      <c r="Z86" s="9">
        <v>83</v>
      </c>
      <c r="AA86" s="22">
        <v>43654.962083333332</v>
      </c>
    </row>
    <row r="87" spans="1:27" s="9" customFormat="1" ht="12.75">
      <c r="A87" s="9" t="s">
        <v>256</v>
      </c>
      <c r="B87" s="9" t="s">
        <v>173</v>
      </c>
      <c r="C87" s="9">
        <v>2.0510000000000002</v>
      </c>
      <c r="D87" s="9">
        <v>15.073</v>
      </c>
      <c r="E87" s="9">
        <v>51.396999999999998</v>
      </c>
      <c r="F87" s="9">
        <v>0.31900000000000001</v>
      </c>
      <c r="G87" s="9">
        <v>10.346</v>
      </c>
      <c r="H87" s="9">
        <v>0.17499999999999999</v>
      </c>
      <c r="I87" s="9">
        <v>7.6559999999999997</v>
      </c>
      <c r="J87" s="9">
        <v>8.0090000000000003</v>
      </c>
      <c r="K87" s="9">
        <v>1.4239999999999999</v>
      </c>
      <c r="L87" s="9">
        <v>3.5999999999999997E-2</v>
      </c>
      <c r="M87" s="9">
        <v>0.53</v>
      </c>
      <c r="Q87" s="9">
        <v>0</v>
      </c>
      <c r="R87" s="9">
        <v>0.16300000000000001</v>
      </c>
      <c r="S87" s="9">
        <v>97.179000000000002</v>
      </c>
      <c r="T87" s="9">
        <v>9918.7000000000007</v>
      </c>
      <c r="U87" s="9">
        <v>-1025</v>
      </c>
      <c r="V87" s="9">
        <v>237</v>
      </c>
      <c r="W87" s="9" t="s">
        <v>173</v>
      </c>
      <c r="X87" s="9">
        <v>831.57</v>
      </c>
      <c r="Y87" s="9">
        <v>12.118</v>
      </c>
      <c r="Z87" s="9">
        <v>84</v>
      </c>
      <c r="AA87" s="22">
        <v>43654.968831018516</v>
      </c>
    </row>
    <row r="88" spans="1:27" s="9" customFormat="1" ht="12.75">
      <c r="A88" s="9" t="s">
        <v>257</v>
      </c>
      <c r="B88" s="9" t="s">
        <v>173</v>
      </c>
      <c r="C88" s="9">
        <v>2.161</v>
      </c>
      <c r="D88" s="9">
        <v>15.058999999999999</v>
      </c>
      <c r="E88" s="9">
        <v>51.253</v>
      </c>
      <c r="F88" s="9">
        <v>0.29599999999999999</v>
      </c>
      <c r="G88" s="9">
        <v>10.285</v>
      </c>
      <c r="H88" s="9">
        <v>0.16600000000000001</v>
      </c>
      <c r="I88" s="9">
        <v>7.657</v>
      </c>
      <c r="J88" s="9">
        <v>8.0370000000000008</v>
      </c>
      <c r="K88" s="9">
        <v>1.4379999999999999</v>
      </c>
      <c r="L88" s="9">
        <v>4.1000000000000002E-2</v>
      </c>
      <c r="M88" s="9">
        <v>0.52800000000000002</v>
      </c>
      <c r="Q88" s="9">
        <v>0</v>
      </c>
      <c r="R88" s="9">
        <v>0.18099999999999999</v>
      </c>
      <c r="S88" s="9">
        <v>97.102999999999994</v>
      </c>
      <c r="T88" s="9">
        <v>9909</v>
      </c>
      <c r="U88" s="9">
        <v>-1022.8</v>
      </c>
      <c r="V88" s="9">
        <v>237</v>
      </c>
      <c r="W88" s="9" t="s">
        <v>173</v>
      </c>
      <c r="X88" s="9">
        <v>841.59</v>
      </c>
      <c r="Y88" s="9">
        <v>12.103999999999999</v>
      </c>
      <c r="Z88" s="9">
        <v>85</v>
      </c>
      <c r="AA88" s="22">
        <v>43654.975543981483</v>
      </c>
    </row>
    <row r="89" spans="1:27" s="9" customFormat="1" ht="12.75">
      <c r="A89" s="9" t="s">
        <v>258</v>
      </c>
      <c r="B89" s="9" t="s">
        <v>173</v>
      </c>
      <c r="C89" s="9">
        <v>2.0030000000000001</v>
      </c>
      <c r="D89" s="9">
        <v>15.012</v>
      </c>
      <c r="E89" s="9">
        <v>51.496000000000002</v>
      </c>
      <c r="F89" s="9">
        <v>0.28399999999999997</v>
      </c>
      <c r="G89" s="9">
        <v>10.311999999999999</v>
      </c>
      <c r="H89" s="9">
        <v>0.16300000000000001</v>
      </c>
      <c r="I89" s="9">
        <v>7.6369999999999996</v>
      </c>
      <c r="J89" s="9">
        <v>8.0579999999999998</v>
      </c>
      <c r="K89" s="9">
        <v>1.407</v>
      </c>
      <c r="L89" s="9">
        <v>4.2999999999999997E-2</v>
      </c>
      <c r="M89" s="9">
        <v>0.53</v>
      </c>
      <c r="Q89" s="9">
        <v>0</v>
      </c>
      <c r="R89" s="9">
        <v>0.16600000000000001</v>
      </c>
      <c r="S89" s="9">
        <v>97.111999999999995</v>
      </c>
      <c r="T89" s="9">
        <v>9899.2000000000007</v>
      </c>
      <c r="U89" s="9">
        <v>-1020.5</v>
      </c>
      <c r="V89" s="9">
        <v>237</v>
      </c>
      <c r="W89" s="9" t="s">
        <v>173</v>
      </c>
      <c r="X89" s="9">
        <v>851.6</v>
      </c>
      <c r="Y89" s="9">
        <v>12.103</v>
      </c>
      <c r="Z89" s="9">
        <v>86</v>
      </c>
      <c r="AA89" s="22">
        <v>43654.98228009259</v>
      </c>
    </row>
    <row r="90" spans="1:27" s="9" customFormat="1" ht="12.75">
      <c r="A90" s="9" t="s">
        <v>259</v>
      </c>
      <c r="B90" s="9" t="s">
        <v>173</v>
      </c>
      <c r="C90" s="9">
        <v>1.8979999999999999</v>
      </c>
      <c r="D90" s="9">
        <v>15.082000000000001</v>
      </c>
      <c r="E90" s="9">
        <v>51.463999999999999</v>
      </c>
      <c r="F90" s="9">
        <v>0.32100000000000001</v>
      </c>
      <c r="G90" s="9">
        <v>10.195</v>
      </c>
      <c r="H90" s="9">
        <v>0.151</v>
      </c>
      <c r="I90" s="9">
        <v>7.6829999999999998</v>
      </c>
      <c r="J90" s="9">
        <v>7.9980000000000002</v>
      </c>
      <c r="K90" s="9">
        <v>1.4339999999999999</v>
      </c>
      <c r="L90" s="9">
        <v>0.05</v>
      </c>
      <c r="M90" s="9">
        <v>0.52500000000000002</v>
      </c>
      <c r="Q90" s="9">
        <v>0</v>
      </c>
      <c r="R90" s="9">
        <v>0.19700000000000001</v>
      </c>
      <c r="S90" s="9">
        <v>96.997</v>
      </c>
      <c r="T90" s="9">
        <v>9889.4</v>
      </c>
      <c r="U90" s="9">
        <v>-1018.3</v>
      </c>
      <c r="V90" s="9">
        <v>237</v>
      </c>
      <c r="W90" s="9" t="s">
        <v>173</v>
      </c>
      <c r="X90" s="9">
        <v>861.62</v>
      </c>
      <c r="Y90" s="9">
        <v>12.092000000000001</v>
      </c>
      <c r="Z90" s="9">
        <v>87</v>
      </c>
      <c r="AA90" s="22">
        <v>43654.989004629628</v>
      </c>
    </row>
    <row r="91" spans="1:27" s="9" customFormat="1" ht="12.75">
      <c r="A91" s="9" t="s">
        <v>260</v>
      </c>
      <c r="B91" s="9" t="s">
        <v>173</v>
      </c>
      <c r="C91" s="9">
        <v>1.946</v>
      </c>
      <c r="D91" s="9">
        <v>15.037000000000001</v>
      </c>
      <c r="E91" s="9">
        <v>51.518000000000001</v>
      </c>
      <c r="F91" s="9">
        <v>0.33100000000000002</v>
      </c>
      <c r="G91" s="9">
        <v>10.314</v>
      </c>
      <c r="H91" s="9">
        <v>0.161</v>
      </c>
      <c r="I91" s="9">
        <v>7.5810000000000004</v>
      </c>
      <c r="J91" s="9">
        <v>8.0530000000000008</v>
      </c>
      <c r="K91" s="9">
        <v>1.419</v>
      </c>
      <c r="L91" s="9">
        <v>4.1000000000000002E-2</v>
      </c>
      <c r="M91" s="9">
        <v>0.53900000000000003</v>
      </c>
      <c r="Q91" s="9">
        <v>4.0000000000000001E-3</v>
      </c>
      <c r="R91" s="9">
        <v>0.17299999999999999</v>
      </c>
      <c r="S91" s="9">
        <v>97.117000000000004</v>
      </c>
      <c r="T91" s="9">
        <v>9879.7000000000007</v>
      </c>
      <c r="U91" s="9">
        <v>-1016</v>
      </c>
      <c r="V91" s="9">
        <v>237</v>
      </c>
      <c r="W91" s="9" t="s">
        <v>173</v>
      </c>
      <c r="X91" s="9">
        <v>871.64</v>
      </c>
      <c r="Y91" s="9">
        <v>12.105</v>
      </c>
      <c r="Z91" s="9">
        <v>88</v>
      </c>
      <c r="AA91" s="22">
        <v>43654.995740740742</v>
      </c>
    </row>
    <row r="92" spans="1:27" s="9" customFormat="1" ht="12.75">
      <c r="A92" s="9" t="s">
        <v>261</v>
      </c>
      <c r="B92" s="9" t="s">
        <v>173</v>
      </c>
      <c r="C92" s="9">
        <v>2.1019999999999999</v>
      </c>
      <c r="D92" s="9">
        <v>15.089</v>
      </c>
      <c r="E92" s="9">
        <v>51.472999999999999</v>
      </c>
      <c r="F92" s="9">
        <v>0.316</v>
      </c>
      <c r="G92" s="9">
        <v>10.252000000000001</v>
      </c>
      <c r="H92" s="9">
        <v>0.155</v>
      </c>
      <c r="I92" s="9">
        <v>7.6449999999999996</v>
      </c>
      <c r="J92" s="9">
        <v>8.0890000000000004</v>
      </c>
      <c r="K92" s="9">
        <v>1.4379999999999999</v>
      </c>
      <c r="L92" s="9">
        <v>4.3999999999999997E-2</v>
      </c>
      <c r="M92" s="9">
        <v>0.53700000000000003</v>
      </c>
      <c r="Q92" s="9">
        <v>0</v>
      </c>
      <c r="R92" s="9">
        <v>0.189</v>
      </c>
      <c r="S92" s="9">
        <v>97.328999999999994</v>
      </c>
      <c r="T92" s="9">
        <v>9869.9</v>
      </c>
      <c r="U92" s="9">
        <v>-1013.8</v>
      </c>
      <c r="V92" s="9">
        <v>237</v>
      </c>
      <c r="W92" s="9" t="s">
        <v>173</v>
      </c>
      <c r="X92" s="9">
        <v>881.66</v>
      </c>
      <c r="Y92" s="9">
        <v>12.128</v>
      </c>
      <c r="Z92" s="9">
        <v>89</v>
      </c>
      <c r="AA92" s="22">
        <v>43655.002465277779</v>
      </c>
    </row>
    <row r="93" spans="1:27" s="9" customFormat="1" ht="12.75">
      <c r="A93" s="9" t="s">
        <v>262</v>
      </c>
      <c r="B93" s="9" t="s">
        <v>173</v>
      </c>
      <c r="C93" s="9">
        <v>2.0289999999999999</v>
      </c>
      <c r="D93" s="9">
        <v>15.079000000000001</v>
      </c>
      <c r="E93" s="9">
        <v>51.383000000000003</v>
      </c>
      <c r="F93" s="9">
        <v>0.307</v>
      </c>
      <c r="G93" s="9">
        <v>10.246</v>
      </c>
      <c r="H93" s="9">
        <v>0.13700000000000001</v>
      </c>
      <c r="I93" s="9">
        <v>7.681</v>
      </c>
      <c r="J93" s="9">
        <v>8.0749999999999993</v>
      </c>
      <c r="K93" s="9">
        <v>1.4390000000000001</v>
      </c>
      <c r="L93" s="9">
        <v>3.6999999999999998E-2</v>
      </c>
      <c r="M93" s="9">
        <v>0.53800000000000003</v>
      </c>
      <c r="Q93" s="9">
        <v>7.0000000000000001E-3</v>
      </c>
      <c r="R93" s="9">
        <v>0.2</v>
      </c>
      <c r="S93" s="9">
        <v>97.156999999999996</v>
      </c>
      <c r="T93" s="9">
        <v>9860.1</v>
      </c>
      <c r="U93" s="9">
        <v>-1011.5</v>
      </c>
      <c r="V93" s="9">
        <v>237</v>
      </c>
      <c r="W93" s="9" t="s">
        <v>173</v>
      </c>
      <c r="X93" s="9">
        <v>891.68</v>
      </c>
      <c r="Y93" s="9">
        <v>12.114000000000001</v>
      </c>
      <c r="Z93" s="9">
        <v>90</v>
      </c>
      <c r="AA93" s="22">
        <v>43655.009201388886</v>
      </c>
    </row>
    <row r="94" spans="1:27" s="9" customFormat="1" ht="12.75">
      <c r="A94" s="9" t="s">
        <v>263</v>
      </c>
      <c r="B94" s="9" t="s">
        <v>173</v>
      </c>
      <c r="C94" s="9">
        <v>2.0230000000000001</v>
      </c>
      <c r="D94" s="9">
        <v>15.087999999999999</v>
      </c>
      <c r="E94" s="9">
        <v>51.46</v>
      </c>
      <c r="F94" s="9">
        <v>0.311</v>
      </c>
      <c r="G94" s="9">
        <v>10.295999999999999</v>
      </c>
      <c r="H94" s="9">
        <v>0.16900000000000001</v>
      </c>
      <c r="I94" s="9">
        <v>7.649</v>
      </c>
      <c r="J94" s="9">
        <v>8.032</v>
      </c>
      <c r="K94" s="9">
        <v>1.4259999999999999</v>
      </c>
      <c r="L94" s="9">
        <v>4.7E-2</v>
      </c>
      <c r="M94" s="9">
        <v>0.53600000000000003</v>
      </c>
      <c r="Q94" s="9">
        <v>1E-3</v>
      </c>
      <c r="R94" s="9">
        <v>0.193</v>
      </c>
      <c r="S94" s="9">
        <v>97.23</v>
      </c>
      <c r="T94" s="9">
        <v>9850.4</v>
      </c>
      <c r="U94" s="9">
        <v>-1009.3</v>
      </c>
      <c r="V94" s="9">
        <v>237</v>
      </c>
      <c r="W94" s="9" t="s">
        <v>173</v>
      </c>
      <c r="X94" s="9">
        <v>901.7</v>
      </c>
      <c r="Y94" s="9">
        <v>12.121</v>
      </c>
      <c r="Z94" s="9">
        <v>91</v>
      </c>
      <c r="AA94" s="22">
        <v>43655.0159375</v>
      </c>
    </row>
    <row r="95" spans="1:27" s="9" customFormat="1" ht="12.75">
      <c r="A95" s="9" t="s">
        <v>264</v>
      </c>
      <c r="B95" s="9" t="s">
        <v>173</v>
      </c>
      <c r="C95" s="9">
        <v>2.1949999999999998</v>
      </c>
      <c r="D95" s="9">
        <v>15.036</v>
      </c>
      <c r="E95" s="9">
        <v>51.442</v>
      </c>
      <c r="F95" s="9">
        <v>0.316</v>
      </c>
      <c r="G95" s="9">
        <v>10.218</v>
      </c>
      <c r="H95" s="9">
        <v>0.17199999999999999</v>
      </c>
      <c r="I95" s="9">
        <v>7.63</v>
      </c>
      <c r="J95" s="9">
        <v>8.0269999999999992</v>
      </c>
      <c r="K95" s="9">
        <v>1.4259999999999999</v>
      </c>
      <c r="L95" s="9">
        <v>4.9000000000000002E-2</v>
      </c>
      <c r="M95" s="9">
        <v>0.53500000000000003</v>
      </c>
      <c r="Q95" s="9">
        <v>0</v>
      </c>
      <c r="R95" s="9">
        <v>0.187</v>
      </c>
      <c r="S95" s="9">
        <v>97.230999999999995</v>
      </c>
      <c r="T95" s="9">
        <v>9840.6</v>
      </c>
      <c r="U95" s="9">
        <v>-1007</v>
      </c>
      <c r="V95" s="9">
        <v>237</v>
      </c>
      <c r="W95" s="9" t="s">
        <v>173</v>
      </c>
      <c r="X95" s="9">
        <v>911.72</v>
      </c>
      <c r="Y95" s="9">
        <v>12.114000000000001</v>
      </c>
      <c r="Z95" s="9">
        <v>92</v>
      </c>
      <c r="AA95" s="22">
        <v>43655.022662037038</v>
      </c>
    </row>
    <row r="96" spans="1:27" s="9" customFormat="1" ht="12.75">
      <c r="A96" s="9" t="s">
        <v>265</v>
      </c>
      <c r="B96" s="9" t="s">
        <v>173</v>
      </c>
      <c r="C96" s="9">
        <v>2.0499999999999998</v>
      </c>
      <c r="D96" s="9">
        <v>15.037000000000001</v>
      </c>
      <c r="E96" s="9">
        <v>51.338999999999999</v>
      </c>
      <c r="F96" s="9">
        <v>0.308</v>
      </c>
      <c r="G96" s="9">
        <v>10.212999999999999</v>
      </c>
      <c r="H96" s="9">
        <v>0.156</v>
      </c>
      <c r="I96" s="9">
        <v>7.6139999999999999</v>
      </c>
      <c r="J96" s="9">
        <v>8.0370000000000008</v>
      </c>
      <c r="K96" s="9">
        <v>1.419</v>
      </c>
      <c r="L96" s="9">
        <v>4.7E-2</v>
      </c>
      <c r="M96" s="9">
        <v>0.53800000000000003</v>
      </c>
      <c r="Q96" s="9">
        <v>2.1000000000000001E-2</v>
      </c>
      <c r="R96" s="9">
        <v>0.19</v>
      </c>
      <c r="S96" s="9">
        <v>96.97</v>
      </c>
      <c r="T96" s="9">
        <v>9830.9</v>
      </c>
      <c r="U96" s="9">
        <v>-1004.8</v>
      </c>
      <c r="V96" s="9">
        <v>237</v>
      </c>
      <c r="W96" s="9" t="s">
        <v>173</v>
      </c>
      <c r="X96" s="9">
        <v>921.74</v>
      </c>
      <c r="Y96" s="9">
        <v>12.093999999999999</v>
      </c>
      <c r="Z96" s="9">
        <v>93</v>
      </c>
      <c r="AA96" s="22">
        <v>43655.029409722221</v>
      </c>
    </row>
    <row r="97" spans="1:27" s="9" customFormat="1" ht="12.75">
      <c r="A97" s="9" t="s">
        <v>266</v>
      </c>
      <c r="B97" s="9" t="s">
        <v>173</v>
      </c>
      <c r="C97" s="9">
        <v>1.93</v>
      </c>
      <c r="D97" s="9">
        <v>15.106</v>
      </c>
      <c r="E97" s="9">
        <v>51.561999999999998</v>
      </c>
      <c r="F97" s="9">
        <v>0.3</v>
      </c>
      <c r="G97" s="9">
        <v>10.265000000000001</v>
      </c>
      <c r="H97" s="9">
        <v>0.14699999999999999</v>
      </c>
      <c r="I97" s="9">
        <v>7.641</v>
      </c>
      <c r="J97" s="9">
        <v>8.0229999999999997</v>
      </c>
      <c r="K97" s="9">
        <v>1.4319999999999999</v>
      </c>
      <c r="L97" s="9">
        <v>4.2000000000000003E-2</v>
      </c>
      <c r="M97" s="9">
        <v>0.53700000000000003</v>
      </c>
      <c r="Q97" s="9">
        <v>2E-3</v>
      </c>
      <c r="R97" s="9">
        <v>0.182</v>
      </c>
      <c r="S97" s="9">
        <v>97.17</v>
      </c>
      <c r="T97" s="9">
        <v>9821.1</v>
      </c>
      <c r="U97" s="9">
        <v>-1002.5</v>
      </c>
      <c r="V97" s="9">
        <v>237</v>
      </c>
      <c r="W97" s="9" t="s">
        <v>173</v>
      </c>
      <c r="X97" s="9">
        <v>931.75</v>
      </c>
      <c r="Y97" s="9">
        <v>12.111000000000001</v>
      </c>
      <c r="Z97" s="9">
        <v>94</v>
      </c>
      <c r="AA97" s="22">
        <v>43655.036099537036</v>
      </c>
    </row>
    <row r="98" spans="1:27" s="9" customFormat="1" ht="12.75">
      <c r="A98" s="9" t="s">
        <v>267</v>
      </c>
      <c r="B98" s="9" t="s">
        <v>173</v>
      </c>
      <c r="C98" s="9">
        <v>2.0990000000000002</v>
      </c>
      <c r="D98" s="9">
        <v>14.983000000000001</v>
      </c>
      <c r="E98" s="9">
        <v>51.457999999999998</v>
      </c>
      <c r="F98" s="9">
        <v>0.30199999999999999</v>
      </c>
      <c r="G98" s="9">
        <v>10.228</v>
      </c>
      <c r="H98" s="9">
        <v>0.152</v>
      </c>
      <c r="I98" s="9">
        <v>7.6719999999999997</v>
      </c>
      <c r="J98" s="9">
        <v>8.0790000000000006</v>
      </c>
      <c r="K98" s="9">
        <v>1.4430000000000001</v>
      </c>
      <c r="L98" s="9">
        <v>0.04</v>
      </c>
      <c r="M98" s="9">
        <v>0.53600000000000003</v>
      </c>
      <c r="Q98" s="9">
        <v>1E-3</v>
      </c>
      <c r="R98" s="9">
        <v>0.17799999999999999</v>
      </c>
      <c r="S98" s="9">
        <v>97.17</v>
      </c>
      <c r="T98" s="9">
        <v>9811.2999999999993</v>
      </c>
      <c r="U98" s="9">
        <v>-1000.3</v>
      </c>
      <c r="V98" s="9">
        <v>237</v>
      </c>
      <c r="W98" s="9" t="s">
        <v>173</v>
      </c>
      <c r="X98" s="9">
        <v>941.77</v>
      </c>
      <c r="Y98" s="9">
        <v>12.111000000000001</v>
      </c>
      <c r="Z98" s="9">
        <v>95</v>
      </c>
      <c r="AA98" s="22">
        <v>43655.04283564815</v>
      </c>
    </row>
    <row r="99" spans="1:27" s="9" customFormat="1" ht="12.75">
      <c r="A99" s="9" t="s">
        <v>268</v>
      </c>
      <c r="B99" s="9" t="s">
        <v>173</v>
      </c>
      <c r="C99" s="9">
        <v>2.0179999999999998</v>
      </c>
      <c r="D99" s="9">
        <v>15.058</v>
      </c>
      <c r="E99" s="9">
        <v>51.392000000000003</v>
      </c>
      <c r="F99" s="9">
        <v>0.317</v>
      </c>
      <c r="G99" s="9">
        <v>10.329000000000001</v>
      </c>
      <c r="H99" s="9">
        <v>0.158</v>
      </c>
      <c r="I99" s="9">
        <v>7.6669999999999998</v>
      </c>
      <c r="J99" s="9">
        <v>8.1189999999999998</v>
      </c>
      <c r="K99" s="9">
        <v>1.4390000000000001</v>
      </c>
      <c r="L99" s="9">
        <v>4.3999999999999997E-2</v>
      </c>
      <c r="M99" s="9">
        <v>0.54</v>
      </c>
      <c r="Q99" s="9">
        <v>1E-3</v>
      </c>
      <c r="R99" s="9">
        <v>0.17199999999999999</v>
      </c>
      <c r="S99" s="9">
        <v>97.253</v>
      </c>
      <c r="T99" s="9">
        <v>9801.6</v>
      </c>
      <c r="U99" s="9">
        <v>-998</v>
      </c>
      <c r="V99" s="9">
        <v>237</v>
      </c>
      <c r="W99" s="9" t="s">
        <v>173</v>
      </c>
      <c r="X99" s="9">
        <v>951.79</v>
      </c>
      <c r="Y99" s="9">
        <v>12.128</v>
      </c>
      <c r="Z99" s="9">
        <v>96</v>
      </c>
      <c r="AA99" s="22">
        <v>43655.04954861111</v>
      </c>
    </row>
    <row r="100" spans="1:27" s="9" customFormat="1" ht="12.75">
      <c r="A100" s="9" t="s">
        <v>269</v>
      </c>
      <c r="B100" s="9" t="s">
        <v>173</v>
      </c>
      <c r="C100" s="9">
        <v>2.0739999999999998</v>
      </c>
      <c r="D100" s="9">
        <v>15.061</v>
      </c>
      <c r="E100" s="9">
        <v>51.332999999999998</v>
      </c>
      <c r="F100" s="9">
        <v>0.30299999999999999</v>
      </c>
      <c r="G100" s="9">
        <v>10.255000000000001</v>
      </c>
      <c r="H100" s="9">
        <v>0.17399999999999999</v>
      </c>
      <c r="I100" s="9">
        <v>7.5949999999999998</v>
      </c>
      <c r="J100" s="9">
        <v>8.0679999999999996</v>
      </c>
      <c r="K100" s="9">
        <v>1.444</v>
      </c>
      <c r="L100" s="9">
        <v>3.7999999999999999E-2</v>
      </c>
      <c r="M100" s="9">
        <v>0.54100000000000004</v>
      </c>
      <c r="Q100" s="9">
        <v>0</v>
      </c>
      <c r="R100" s="9">
        <v>0.193</v>
      </c>
      <c r="S100" s="9">
        <v>97.078999999999994</v>
      </c>
      <c r="T100" s="9">
        <v>9791.7999999999993</v>
      </c>
      <c r="U100" s="9">
        <v>-995.8</v>
      </c>
      <c r="V100" s="9">
        <v>237</v>
      </c>
      <c r="W100" s="9" t="s">
        <v>173</v>
      </c>
      <c r="X100" s="9">
        <v>961.81</v>
      </c>
      <c r="Y100" s="9">
        <v>12.097</v>
      </c>
      <c r="Z100" s="9">
        <v>97</v>
      </c>
      <c r="AA100" s="22">
        <v>43655.056284722225</v>
      </c>
    </row>
    <row r="101" spans="1:27" s="9" customFormat="1" ht="12.75">
      <c r="A101" s="9" t="s">
        <v>270</v>
      </c>
      <c r="B101" s="9" t="s">
        <v>173</v>
      </c>
      <c r="C101" s="9">
        <v>1.9490000000000001</v>
      </c>
      <c r="D101" s="9">
        <v>15.052</v>
      </c>
      <c r="E101" s="9">
        <v>51.488</v>
      </c>
      <c r="F101" s="9">
        <v>0.312</v>
      </c>
      <c r="G101" s="9">
        <v>10.271000000000001</v>
      </c>
      <c r="H101" s="9">
        <v>0.153</v>
      </c>
      <c r="I101" s="9">
        <v>7.6470000000000002</v>
      </c>
      <c r="J101" s="9">
        <v>8.0190000000000001</v>
      </c>
      <c r="K101" s="9">
        <v>1.417</v>
      </c>
      <c r="L101" s="9">
        <v>4.8000000000000001E-2</v>
      </c>
      <c r="M101" s="9">
        <v>0.53500000000000003</v>
      </c>
      <c r="Q101" s="9">
        <v>2.1000000000000001E-2</v>
      </c>
      <c r="R101" s="9">
        <v>0.16500000000000001</v>
      </c>
      <c r="S101" s="9">
        <v>97.076999999999998</v>
      </c>
      <c r="T101" s="9">
        <v>9782.1</v>
      </c>
      <c r="U101" s="9">
        <v>-993.5</v>
      </c>
      <c r="V101" s="9">
        <v>237</v>
      </c>
      <c r="W101" s="9" t="s">
        <v>173</v>
      </c>
      <c r="X101" s="9">
        <v>971.83</v>
      </c>
      <c r="Y101" s="9">
        <v>12.112</v>
      </c>
      <c r="Z101" s="9">
        <v>98</v>
      </c>
      <c r="AA101" s="22">
        <v>43655.063020833331</v>
      </c>
    </row>
    <row r="102" spans="1:27" s="9" customFormat="1" ht="12.75">
      <c r="A102" s="9" t="s">
        <v>271</v>
      </c>
      <c r="B102" s="9" t="s">
        <v>173</v>
      </c>
      <c r="C102" s="9">
        <v>2.0339999999999998</v>
      </c>
      <c r="D102" s="9">
        <v>15.065</v>
      </c>
      <c r="E102" s="9">
        <v>51.683999999999997</v>
      </c>
      <c r="F102" s="9">
        <v>0.315</v>
      </c>
      <c r="G102" s="9">
        <v>10.215</v>
      </c>
      <c r="H102" s="9">
        <v>0.153</v>
      </c>
      <c r="I102" s="9">
        <v>7.6230000000000002</v>
      </c>
      <c r="J102" s="9">
        <v>8.0879999999999992</v>
      </c>
      <c r="K102" s="9">
        <v>1.4450000000000001</v>
      </c>
      <c r="L102" s="9">
        <v>4.5999999999999999E-2</v>
      </c>
      <c r="M102" s="9">
        <v>0.53800000000000003</v>
      </c>
      <c r="Q102" s="9">
        <v>5.0000000000000001E-3</v>
      </c>
      <c r="R102" s="9">
        <v>0.184</v>
      </c>
      <c r="S102" s="9">
        <v>97.396000000000001</v>
      </c>
      <c r="T102" s="9">
        <v>9772.2999999999993</v>
      </c>
      <c r="U102" s="9">
        <v>-991.3</v>
      </c>
      <c r="V102" s="9">
        <v>237</v>
      </c>
      <c r="W102" s="9" t="s">
        <v>173</v>
      </c>
      <c r="X102" s="9">
        <v>981.85</v>
      </c>
      <c r="Y102" s="9">
        <v>12.134</v>
      </c>
      <c r="Z102" s="9">
        <v>99</v>
      </c>
      <c r="AA102" s="22">
        <v>43655.069745370369</v>
      </c>
    </row>
    <row r="103" spans="1:27" s="9" customFormat="1" ht="12.75">
      <c r="A103" s="9" t="s">
        <v>272</v>
      </c>
      <c r="B103" s="9" t="s">
        <v>173</v>
      </c>
      <c r="C103" s="9">
        <v>1.962</v>
      </c>
      <c r="D103" s="9">
        <v>15.045999999999999</v>
      </c>
      <c r="E103" s="9">
        <v>51.460999999999999</v>
      </c>
      <c r="F103" s="9">
        <v>0.31900000000000001</v>
      </c>
      <c r="G103" s="9">
        <v>10.287000000000001</v>
      </c>
      <c r="H103" s="9">
        <v>0.17100000000000001</v>
      </c>
      <c r="I103" s="9">
        <v>7.5979999999999999</v>
      </c>
      <c r="J103" s="9">
        <v>8.0299999999999994</v>
      </c>
      <c r="K103" s="9">
        <v>1.4359999999999999</v>
      </c>
      <c r="L103" s="9">
        <v>4.7E-2</v>
      </c>
      <c r="M103" s="9">
        <v>0.54600000000000004</v>
      </c>
      <c r="Q103" s="9">
        <v>2E-3</v>
      </c>
      <c r="R103" s="9">
        <v>0.17299999999999999</v>
      </c>
      <c r="S103" s="9">
        <v>97.078000000000003</v>
      </c>
      <c r="T103" s="9">
        <v>9762.5</v>
      </c>
      <c r="U103" s="9">
        <v>-989</v>
      </c>
      <c r="V103" s="9">
        <v>237</v>
      </c>
      <c r="W103" s="9" t="s">
        <v>173</v>
      </c>
      <c r="X103" s="9">
        <v>991.87</v>
      </c>
      <c r="Y103" s="9">
        <v>12.103</v>
      </c>
      <c r="Z103" s="9">
        <v>100</v>
      </c>
      <c r="AA103" s="22">
        <v>43655.076493055552</v>
      </c>
    </row>
    <row r="104" spans="1:27" s="9" customFormat="1" ht="12.75">
      <c r="A104" s="9" t="s">
        <v>273</v>
      </c>
      <c r="B104" s="9" t="s">
        <v>173</v>
      </c>
      <c r="C104" s="9">
        <v>1.915</v>
      </c>
      <c r="D104" s="9">
        <v>15.07</v>
      </c>
      <c r="E104" s="9">
        <v>51.411999999999999</v>
      </c>
      <c r="F104" s="9">
        <v>0.3</v>
      </c>
      <c r="G104" s="9">
        <v>10.217000000000001</v>
      </c>
      <c r="H104" s="9">
        <v>0.16500000000000001</v>
      </c>
      <c r="I104" s="9">
        <v>7.524</v>
      </c>
      <c r="J104" s="9">
        <v>8.0779999999999994</v>
      </c>
      <c r="K104" s="9">
        <v>1.4350000000000001</v>
      </c>
      <c r="L104" s="9">
        <v>5.0999999999999997E-2</v>
      </c>
      <c r="M104" s="9">
        <v>0.54400000000000004</v>
      </c>
      <c r="Q104" s="9">
        <v>0</v>
      </c>
      <c r="R104" s="9">
        <v>0.19600000000000001</v>
      </c>
      <c r="S104" s="9">
        <v>96.906999999999996</v>
      </c>
      <c r="T104" s="9">
        <v>9752.7999999999993</v>
      </c>
      <c r="U104" s="9">
        <v>-986.8</v>
      </c>
      <c r="V104" s="9">
        <v>237</v>
      </c>
      <c r="W104" s="9" t="s">
        <v>173</v>
      </c>
      <c r="X104" s="9">
        <v>1001.89</v>
      </c>
      <c r="Y104" s="9">
        <v>12.07</v>
      </c>
      <c r="Z104" s="9">
        <v>101</v>
      </c>
      <c r="AA104" s="22">
        <v>43655.083229166667</v>
      </c>
    </row>
    <row r="105" spans="1:27" s="9" customFormat="1" ht="12.75">
      <c r="A105" s="9" t="s">
        <v>274</v>
      </c>
      <c r="B105" s="9" t="s">
        <v>173</v>
      </c>
      <c r="C105" s="9">
        <v>1.9139999999999999</v>
      </c>
      <c r="D105" s="9">
        <v>15.089</v>
      </c>
      <c r="E105" s="9">
        <v>51.49</v>
      </c>
      <c r="F105" s="9">
        <v>0.30199999999999999</v>
      </c>
      <c r="G105" s="9">
        <v>10.305999999999999</v>
      </c>
      <c r="H105" s="9">
        <v>0.16500000000000001</v>
      </c>
      <c r="I105" s="9">
        <v>7.6150000000000002</v>
      </c>
      <c r="J105" s="9">
        <v>8.0749999999999993</v>
      </c>
      <c r="K105" s="9">
        <v>1.431</v>
      </c>
      <c r="L105" s="9">
        <v>3.9E-2</v>
      </c>
      <c r="M105" s="9">
        <v>0.54500000000000004</v>
      </c>
      <c r="Q105" s="9">
        <v>0</v>
      </c>
      <c r="R105" s="9">
        <v>0.192</v>
      </c>
      <c r="S105" s="9">
        <v>97.164000000000001</v>
      </c>
      <c r="T105" s="9">
        <v>9743</v>
      </c>
      <c r="U105" s="9">
        <v>-984.5</v>
      </c>
      <c r="V105" s="9">
        <v>237</v>
      </c>
      <c r="W105" s="9" t="s">
        <v>173</v>
      </c>
      <c r="X105" s="9">
        <v>1011.91</v>
      </c>
      <c r="Y105" s="9">
        <v>12.112</v>
      </c>
      <c r="Z105" s="9">
        <v>102</v>
      </c>
      <c r="AA105" s="22">
        <v>43655.08997685185</v>
      </c>
    </row>
    <row r="106" spans="1:27" s="9" customFormat="1" ht="12.75">
      <c r="A106" s="9" t="s">
        <v>275</v>
      </c>
      <c r="B106" s="9" t="s">
        <v>173</v>
      </c>
      <c r="C106" s="9">
        <v>1.9530000000000001</v>
      </c>
      <c r="D106" s="9">
        <v>15.058</v>
      </c>
      <c r="E106" s="9">
        <v>51.515999999999998</v>
      </c>
      <c r="F106" s="9">
        <v>0.30099999999999999</v>
      </c>
      <c r="G106" s="9">
        <v>10.358000000000001</v>
      </c>
      <c r="H106" s="9">
        <v>0.152</v>
      </c>
      <c r="I106" s="9">
        <v>7.7</v>
      </c>
      <c r="J106" s="9">
        <v>8.0790000000000006</v>
      </c>
      <c r="K106" s="9">
        <v>1.4339999999999999</v>
      </c>
      <c r="L106" s="9">
        <v>5.1999999999999998E-2</v>
      </c>
      <c r="M106" s="9">
        <v>0.54700000000000004</v>
      </c>
      <c r="Q106" s="9">
        <v>0</v>
      </c>
      <c r="R106" s="9">
        <v>0.189</v>
      </c>
      <c r="S106" s="9">
        <v>97.338999999999999</v>
      </c>
      <c r="T106" s="9">
        <v>9733.2000000000007</v>
      </c>
      <c r="U106" s="9">
        <v>-982.2</v>
      </c>
      <c r="V106" s="9">
        <v>237</v>
      </c>
      <c r="W106" s="9" t="s">
        <v>173</v>
      </c>
      <c r="X106" s="9">
        <v>1021.92</v>
      </c>
      <c r="Y106" s="9">
        <v>12.143000000000001</v>
      </c>
      <c r="Z106" s="9">
        <v>103</v>
      </c>
      <c r="AA106" s="22">
        <v>43655.096689814818</v>
      </c>
    </row>
    <row r="107" spans="1:27" s="9" customFormat="1" ht="12.75">
      <c r="A107" s="9" t="s">
        <v>276</v>
      </c>
      <c r="B107" s="9" t="s">
        <v>173</v>
      </c>
      <c r="C107" s="9">
        <v>2.0270000000000001</v>
      </c>
      <c r="D107" s="9">
        <v>15.053000000000001</v>
      </c>
      <c r="E107" s="9">
        <v>51.517000000000003</v>
      </c>
      <c r="F107" s="9">
        <v>0.314</v>
      </c>
      <c r="G107" s="9">
        <v>10.276999999999999</v>
      </c>
      <c r="H107" s="9">
        <v>0.17799999999999999</v>
      </c>
      <c r="I107" s="9">
        <v>7.6420000000000003</v>
      </c>
      <c r="J107" s="9">
        <v>8.0239999999999991</v>
      </c>
      <c r="K107" s="9">
        <v>1.425</v>
      </c>
      <c r="L107" s="9">
        <v>5.0999999999999997E-2</v>
      </c>
      <c r="M107" s="9">
        <v>0.54800000000000004</v>
      </c>
      <c r="Q107" s="9">
        <v>0.03</v>
      </c>
      <c r="R107" s="9">
        <v>0.186</v>
      </c>
      <c r="S107" s="9">
        <v>97.271000000000001</v>
      </c>
      <c r="T107" s="9">
        <v>9723.5</v>
      </c>
      <c r="U107" s="9">
        <v>-980</v>
      </c>
      <c r="V107" s="9">
        <v>237</v>
      </c>
      <c r="W107" s="9" t="s">
        <v>173</v>
      </c>
      <c r="X107" s="9">
        <v>1031.94</v>
      </c>
      <c r="Y107" s="9">
        <v>12.143000000000001</v>
      </c>
      <c r="Z107" s="9">
        <v>104</v>
      </c>
      <c r="AA107" s="22">
        <v>43655.103414351855</v>
      </c>
    </row>
    <row r="108" spans="1:27" s="9" customFormat="1" ht="12.75">
      <c r="A108" s="9" t="s">
        <v>277</v>
      </c>
      <c r="B108" s="9" t="s">
        <v>173</v>
      </c>
      <c r="C108" s="9">
        <v>2.0209999999999999</v>
      </c>
      <c r="D108" s="9">
        <v>14.986000000000001</v>
      </c>
      <c r="E108" s="9">
        <v>51.435000000000002</v>
      </c>
      <c r="F108" s="9">
        <v>0.32900000000000001</v>
      </c>
      <c r="G108" s="9">
        <v>10.298</v>
      </c>
      <c r="H108" s="9">
        <v>0.14199999999999999</v>
      </c>
      <c r="I108" s="9">
        <v>7.6550000000000002</v>
      </c>
      <c r="J108" s="9">
        <v>8.0259999999999998</v>
      </c>
      <c r="K108" s="9">
        <v>1.42</v>
      </c>
      <c r="L108" s="9">
        <v>4.2999999999999997E-2</v>
      </c>
      <c r="M108" s="9">
        <v>0.54500000000000004</v>
      </c>
      <c r="Q108" s="9">
        <v>0</v>
      </c>
      <c r="R108" s="9">
        <v>0.17799999999999999</v>
      </c>
      <c r="S108" s="9">
        <v>97.08</v>
      </c>
      <c r="T108" s="9">
        <v>9713.7000000000007</v>
      </c>
      <c r="U108" s="9">
        <v>-977.7</v>
      </c>
      <c r="V108" s="9">
        <v>237</v>
      </c>
      <c r="W108" s="9" t="s">
        <v>173</v>
      </c>
      <c r="X108" s="9">
        <v>1041.96</v>
      </c>
      <c r="Y108" s="9">
        <v>12.106</v>
      </c>
      <c r="Z108" s="9">
        <v>105</v>
      </c>
      <c r="AA108" s="22">
        <v>43655.110138888886</v>
      </c>
    </row>
    <row r="109" spans="1:27" s="9" customFormat="1" ht="12.75">
      <c r="A109" s="9" t="s">
        <v>278</v>
      </c>
      <c r="B109" s="9" t="s">
        <v>173</v>
      </c>
      <c r="C109" s="9">
        <v>1.9950000000000001</v>
      </c>
      <c r="D109" s="9">
        <v>15.079000000000001</v>
      </c>
      <c r="E109" s="9">
        <v>51.436999999999998</v>
      </c>
      <c r="F109" s="9">
        <v>0.316</v>
      </c>
      <c r="G109" s="9">
        <v>10.220000000000001</v>
      </c>
      <c r="H109" s="9">
        <v>0.13300000000000001</v>
      </c>
      <c r="I109" s="9">
        <v>7.6120000000000001</v>
      </c>
      <c r="J109" s="9">
        <v>8.0399999999999991</v>
      </c>
      <c r="K109" s="9">
        <v>1.4419999999999999</v>
      </c>
      <c r="L109" s="9">
        <v>3.6999999999999998E-2</v>
      </c>
      <c r="M109" s="9">
        <v>0.55100000000000005</v>
      </c>
      <c r="Q109" s="9">
        <v>0</v>
      </c>
      <c r="R109" s="9">
        <v>0.19600000000000001</v>
      </c>
      <c r="S109" s="9">
        <v>97.055999999999997</v>
      </c>
      <c r="T109" s="9">
        <v>9704</v>
      </c>
      <c r="U109" s="9">
        <v>-975.5</v>
      </c>
      <c r="V109" s="9">
        <v>237</v>
      </c>
      <c r="W109" s="9" t="s">
        <v>173</v>
      </c>
      <c r="X109" s="9">
        <v>1051.98</v>
      </c>
      <c r="Y109" s="9">
        <v>12.093999999999999</v>
      </c>
      <c r="Z109" s="9">
        <v>106</v>
      </c>
      <c r="AA109" s="22">
        <v>43655.116840277777</v>
      </c>
    </row>
    <row r="110" spans="1:27" s="9" customFormat="1" ht="12.75">
      <c r="A110" s="9" t="s">
        <v>279</v>
      </c>
      <c r="B110" s="9" t="s">
        <v>173</v>
      </c>
      <c r="C110" s="9">
        <v>1.984</v>
      </c>
      <c r="D110" s="9">
        <v>15.16</v>
      </c>
      <c r="E110" s="9">
        <v>51.55</v>
      </c>
      <c r="F110" s="9">
        <v>0.308</v>
      </c>
      <c r="G110" s="9">
        <v>10.356999999999999</v>
      </c>
      <c r="H110" s="9">
        <v>0.187</v>
      </c>
      <c r="I110" s="9">
        <v>7.6639999999999997</v>
      </c>
      <c r="J110" s="9">
        <v>8.0470000000000006</v>
      </c>
      <c r="K110" s="9">
        <v>1.4330000000000001</v>
      </c>
      <c r="L110" s="9">
        <v>5.3999999999999999E-2</v>
      </c>
      <c r="M110" s="9">
        <v>0.55000000000000004</v>
      </c>
      <c r="Q110" s="9">
        <v>0</v>
      </c>
      <c r="R110" s="9">
        <v>0.191</v>
      </c>
      <c r="S110" s="9">
        <v>97.486999999999995</v>
      </c>
      <c r="T110" s="9">
        <v>9694.2000000000007</v>
      </c>
      <c r="U110" s="9">
        <v>-973.2</v>
      </c>
      <c r="V110" s="9">
        <v>237</v>
      </c>
      <c r="W110" s="9" t="s">
        <v>173</v>
      </c>
      <c r="X110" s="9">
        <v>1062</v>
      </c>
      <c r="Y110" s="9">
        <v>12.16</v>
      </c>
      <c r="Z110" s="9">
        <v>107</v>
      </c>
      <c r="AA110" s="22">
        <v>43655.123553240737</v>
      </c>
    </row>
    <row r="111" spans="1:27" s="9" customFormat="1" ht="12.75">
      <c r="A111" s="9" t="s">
        <v>280</v>
      </c>
      <c r="B111" s="9" t="s">
        <v>173</v>
      </c>
      <c r="C111" s="9">
        <v>2.129</v>
      </c>
      <c r="D111" s="9">
        <v>15.054</v>
      </c>
      <c r="E111" s="9">
        <v>51.4</v>
      </c>
      <c r="F111" s="9">
        <v>0.308</v>
      </c>
      <c r="G111" s="9">
        <v>10.259</v>
      </c>
      <c r="H111" s="9">
        <v>0.157</v>
      </c>
      <c r="I111" s="9">
        <v>7.6189999999999998</v>
      </c>
      <c r="J111" s="9">
        <v>8.1289999999999996</v>
      </c>
      <c r="K111" s="9">
        <v>1.43</v>
      </c>
      <c r="L111" s="9">
        <v>4.2999999999999997E-2</v>
      </c>
      <c r="M111" s="9">
        <v>0.54800000000000004</v>
      </c>
      <c r="Q111" s="9">
        <v>0</v>
      </c>
      <c r="R111" s="9">
        <v>0.193</v>
      </c>
      <c r="S111" s="9">
        <v>97.268000000000001</v>
      </c>
      <c r="T111" s="9">
        <v>9684.4</v>
      </c>
      <c r="U111" s="9">
        <v>-971</v>
      </c>
      <c r="V111" s="9">
        <v>237</v>
      </c>
      <c r="W111" s="9" t="s">
        <v>173</v>
      </c>
      <c r="X111" s="9">
        <v>1072.02</v>
      </c>
      <c r="Y111" s="9">
        <v>12.12</v>
      </c>
      <c r="Z111" s="9">
        <v>108</v>
      </c>
      <c r="AA111" s="22">
        <v>43655.130277777775</v>
      </c>
    </row>
    <row r="112" spans="1:27" s="9" customFormat="1" ht="12.75">
      <c r="A112" s="9" t="s">
        <v>281</v>
      </c>
      <c r="B112" s="9" t="s">
        <v>173</v>
      </c>
      <c r="C112" s="9">
        <v>2.0270000000000001</v>
      </c>
      <c r="D112" s="9">
        <v>15.048</v>
      </c>
      <c r="E112" s="9">
        <v>51.616999999999997</v>
      </c>
      <c r="F112" s="9">
        <v>0.29499999999999998</v>
      </c>
      <c r="G112" s="9">
        <v>10.201000000000001</v>
      </c>
      <c r="H112" s="9">
        <v>0.14799999999999999</v>
      </c>
      <c r="I112" s="9">
        <v>7.5679999999999996</v>
      </c>
      <c r="J112" s="9">
        <v>8.0579999999999998</v>
      </c>
      <c r="K112" s="9">
        <v>1.4259999999999999</v>
      </c>
      <c r="L112" s="9">
        <v>5.2999999999999999E-2</v>
      </c>
      <c r="M112" s="9">
        <v>0.54300000000000004</v>
      </c>
      <c r="Q112" s="9">
        <v>1.7999999999999999E-2</v>
      </c>
      <c r="R112" s="9">
        <v>0.19700000000000001</v>
      </c>
      <c r="S112" s="9">
        <v>97.197999999999993</v>
      </c>
      <c r="T112" s="9">
        <v>9674.7000000000007</v>
      </c>
      <c r="U112" s="9">
        <v>-968.7</v>
      </c>
      <c r="V112" s="9">
        <v>237</v>
      </c>
      <c r="W112" s="9" t="s">
        <v>173</v>
      </c>
      <c r="X112" s="9">
        <v>1082.04</v>
      </c>
      <c r="Y112" s="9">
        <v>12.111000000000001</v>
      </c>
      <c r="Z112" s="9">
        <v>109</v>
      </c>
      <c r="AA112" s="22">
        <v>43655.137013888889</v>
      </c>
    </row>
    <row r="113" spans="1:27" s="9" customFormat="1" ht="12.75">
      <c r="A113" s="9" t="s">
        <v>282</v>
      </c>
      <c r="B113" s="9" t="s">
        <v>173</v>
      </c>
      <c r="C113" s="9">
        <v>1.962</v>
      </c>
      <c r="D113" s="9">
        <v>15.111000000000001</v>
      </c>
      <c r="E113" s="9">
        <v>51.627000000000002</v>
      </c>
      <c r="F113" s="9">
        <v>0.314</v>
      </c>
      <c r="G113" s="9">
        <v>10.375</v>
      </c>
      <c r="H113" s="9">
        <v>0.16500000000000001</v>
      </c>
      <c r="I113" s="9">
        <v>7.6790000000000003</v>
      </c>
      <c r="J113" s="9">
        <v>8.0079999999999991</v>
      </c>
      <c r="K113" s="9">
        <v>1.4470000000000001</v>
      </c>
      <c r="L113" s="9">
        <v>4.3999999999999997E-2</v>
      </c>
      <c r="M113" s="9">
        <v>0.54800000000000004</v>
      </c>
      <c r="Q113" s="9">
        <v>0</v>
      </c>
      <c r="R113" s="9">
        <v>0.17399999999999999</v>
      </c>
      <c r="S113" s="9">
        <v>97.454999999999998</v>
      </c>
      <c r="T113" s="9">
        <v>9664.9</v>
      </c>
      <c r="U113" s="9">
        <v>-966.5</v>
      </c>
      <c r="V113" s="9">
        <v>237</v>
      </c>
      <c r="W113" s="9" t="s">
        <v>173</v>
      </c>
      <c r="X113" s="9">
        <v>1092.06</v>
      </c>
      <c r="Y113" s="9">
        <v>12.157</v>
      </c>
      <c r="Z113" s="9">
        <v>110</v>
      </c>
      <c r="AA113" s="22">
        <v>43655.143761574072</v>
      </c>
    </row>
    <row r="114" spans="1:27" s="9" customFormat="1" ht="12.75">
      <c r="A114" s="9" t="s">
        <v>283</v>
      </c>
      <c r="B114" s="9" t="s">
        <v>173</v>
      </c>
      <c r="C114" s="9">
        <v>1.9590000000000001</v>
      </c>
      <c r="D114" s="9">
        <v>15.138999999999999</v>
      </c>
      <c r="E114" s="9">
        <v>51.613999999999997</v>
      </c>
      <c r="F114" s="9">
        <v>0.308</v>
      </c>
      <c r="G114" s="9">
        <v>10.271000000000001</v>
      </c>
      <c r="H114" s="9">
        <v>0.14799999999999999</v>
      </c>
      <c r="I114" s="9">
        <v>7.609</v>
      </c>
      <c r="J114" s="9">
        <v>8.1129999999999995</v>
      </c>
      <c r="K114" s="9">
        <v>1.4530000000000001</v>
      </c>
      <c r="L114" s="9">
        <v>4.2999999999999997E-2</v>
      </c>
      <c r="M114" s="9">
        <v>0.55300000000000005</v>
      </c>
      <c r="Q114" s="9">
        <v>0</v>
      </c>
      <c r="R114" s="9">
        <v>0.192</v>
      </c>
      <c r="S114" s="9">
        <v>97.400999999999996</v>
      </c>
      <c r="T114" s="9">
        <v>9655.1</v>
      </c>
      <c r="U114" s="9">
        <v>-964.2</v>
      </c>
      <c r="V114" s="9">
        <v>237</v>
      </c>
      <c r="W114" s="9" t="s">
        <v>173</v>
      </c>
      <c r="X114" s="9">
        <v>1102.08</v>
      </c>
      <c r="Y114" s="9">
        <v>12.135999999999999</v>
      </c>
      <c r="Z114" s="9">
        <v>111</v>
      </c>
      <c r="AA114" s="22">
        <v>43655.150497685187</v>
      </c>
    </row>
    <row r="115" spans="1:27" s="9" customFormat="1" ht="12.75">
      <c r="A115" s="9" t="s">
        <v>284</v>
      </c>
      <c r="B115" s="9" t="s">
        <v>173</v>
      </c>
      <c r="C115" s="9">
        <v>2.0550000000000002</v>
      </c>
      <c r="D115" s="9">
        <v>15.117000000000001</v>
      </c>
      <c r="E115" s="9">
        <v>51.500999999999998</v>
      </c>
      <c r="F115" s="9">
        <v>0.308</v>
      </c>
      <c r="G115" s="9">
        <v>10.303000000000001</v>
      </c>
      <c r="H115" s="9">
        <v>0.17899999999999999</v>
      </c>
      <c r="I115" s="9">
        <v>7.64</v>
      </c>
      <c r="J115" s="9">
        <v>8.0749999999999993</v>
      </c>
      <c r="K115" s="9">
        <v>1.43</v>
      </c>
      <c r="L115" s="9">
        <v>4.2999999999999997E-2</v>
      </c>
      <c r="M115" s="9">
        <v>0.55200000000000005</v>
      </c>
      <c r="Q115" s="9">
        <v>7.0000000000000001E-3</v>
      </c>
      <c r="R115" s="9">
        <v>0.189</v>
      </c>
      <c r="S115" s="9">
        <v>97.400999999999996</v>
      </c>
      <c r="T115" s="9">
        <v>9645.4</v>
      </c>
      <c r="U115" s="9">
        <v>-962</v>
      </c>
      <c r="V115" s="9">
        <v>237</v>
      </c>
      <c r="W115" s="9" t="s">
        <v>173</v>
      </c>
      <c r="X115" s="9">
        <v>1112.0899999999999</v>
      </c>
      <c r="Y115" s="9">
        <v>12.147</v>
      </c>
      <c r="Z115" s="9">
        <v>112</v>
      </c>
      <c r="AA115" s="22">
        <v>43655.157233796293</v>
      </c>
    </row>
    <row r="116" spans="1:27" s="9" customFormat="1" ht="12.75">
      <c r="A116" s="9" t="s">
        <v>285</v>
      </c>
      <c r="B116" s="9" t="s">
        <v>173</v>
      </c>
      <c r="C116" s="9">
        <v>2.0049999999999999</v>
      </c>
      <c r="D116" s="9">
        <v>15.125999999999999</v>
      </c>
      <c r="E116" s="9">
        <v>51.454000000000001</v>
      </c>
      <c r="F116" s="9">
        <v>0.28499999999999998</v>
      </c>
      <c r="G116" s="9">
        <v>10.32</v>
      </c>
      <c r="H116" s="9">
        <v>0.151</v>
      </c>
      <c r="I116" s="9">
        <v>7.6710000000000003</v>
      </c>
      <c r="J116" s="9">
        <v>8.07</v>
      </c>
      <c r="K116" s="9">
        <v>1.415</v>
      </c>
      <c r="L116" s="9">
        <v>5.3999999999999999E-2</v>
      </c>
      <c r="M116" s="9">
        <v>0.54800000000000004</v>
      </c>
      <c r="Q116" s="9">
        <v>8.0000000000000002E-3</v>
      </c>
      <c r="R116" s="9">
        <v>0.192</v>
      </c>
      <c r="S116" s="9">
        <v>97.299000000000007</v>
      </c>
      <c r="T116" s="9">
        <v>9635.6</v>
      </c>
      <c r="U116" s="9">
        <v>-959.7</v>
      </c>
      <c r="V116" s="9">
        <v>237</v>
      </c>
      <c r="W116" s="9" t="s">
        <v>173</v>
      </c>
      <c r="X116" s="9">
        <v>1122.1099999999999</v>
      </c>
      <c r="Y116" s="9">
        <v>12.135</v>
      </c>
      <c r="Z116" s="9">
        <v>113</v>
      </c>
      <c r="AA116" s="22">
        <v>43655.163993055554</v>
      </c>
    </row>
    <row r="117" spans="1:27" s="9" customFormat="1" ht="12.75">
      <c r="A117" s="9" t="s">
        <v>286</v>
      </c>
      <c r="B117" s="9" t="s">
        <v>173</v>
      </c>
      <c r="C117" s="9">
        <v>1.931</v>
      </c>
      <c r="D117" s="9">
        <v>15.106999999999999</v>
      </c>
      <c r="E117" s="9">
        <v>51.564</v>
      </c>
      <c r="F117" s="9">
        <v>0.32200000000000001</v>
      </c>
      <c r="G117" s="9">
        <v>10.291</v>
      </c>
      <c r="H117" s="9">
        <v>0.19</v>
      </c>
      <c r="I117" s="9">
        <v>7.6420000000000003</v>
      </c>
      <c r="J117" s="9">
        <v>8.0380000000000003</v>
      </c>
      <c r="K117" s="9">
        <v>1.4430000000000001</v>
      </c>
      <c r="L117" s="9">
        <v>0.05</v>
      </c>
      <c r="M117" s="9">
        <v>0.55500000000000005</v>
      </c>
      <c r="Q117" s="9">
        <v>0</v>
      </c>
      <c r="R117" s="9">
        <v>0.19700000000000001</v>
      </c>
      <c r="S117" s="9">
        <v>97.328999999999994</v>
      </c>
      <c r="T117" s="9">
        <v>9625.9</v>
      </c>
      <c r="U117" s="9">
        <v>-957.5</v>
      </c>
      <c r="V117" s="9">
        <v>237</v>
      </c>
      <c r="W117" s="9" t="s">
        <v>173</v>
      </c>
      <c r="X117" s="9">
        <v>1132.1300000000001</v>
      </c>
      <c r="Y117" s="9">
        <v>12.138999999999999</v>
      </c>
      <c r="Z117" s="9">
        <v>114</v>
      </c>
      <c r="AA117" s="22">
        <v>43655.170740740738</v>
      </c>
    </row>
    <row r="118" spans="1:27" s="9" customFormat="1" ht="12.75">
      <c r="A118" s="9" t="s">
        <v>287</v>
      </c>
      <c r="B118" s="9" t="s">
        <v>173</v>
      </c>
      <c r="C118" s="9">
        <v>2.1640000000000001</v>
      </c>
      <c r="D118" s="9">
        <v>15.019</v>
      </c>
      <c r="E118" s="9">
        <v>51.613999999999997</v>
      </c>
      <c r="F118" s="9">
        <v>0.29899999999999999</v>
      </c>
      <c r="G118" s="9">
        <v>10.242000000000001</v>
      </c>
      <c r="H118" s="9">
        <v>0.17499999999999999</v>
      </c>
      <c r="I118" s="9">
        <v>7.6340000000000003</v>
      </c>
      <c r="J118" s="9">
        <v>8.0210000000000008</v>
      </c>
      <c r="K118" s="9">
        <v>1.4259999999999999</v>
      </c>
      <c r="L118" s="9">
        <v>4.7E-2</v>
      </c>
      <c r="M118" s="9">
        <v>0.55400000000000005</v>
      </c>
      <c r="Q118" s="9">
        <v>4.0000000000000001E-3</v>
      </c>
      <c r="R118" s="9">
        <v>0.20799999999999999</v>
      </c>
      <c r="S118" s="9">
        <v>97.406999999999996</v>
      </c>
      <c r="T118" s="9">
        <v>9616.1</v>
      </c>
      <c r="U118" s="9">
        <v>-955.2</v>
      </c>
      <c r="V118" s="9">
        <v>237</v>
      </c>
      <c r="W118" s="9" t="s">
        <v>173</v>
      </c>
      <c r="X118" s="9">
        <v>1142.1500000000001</v>
      </c>
      <c r="Y118" s="9">
        <v>12.141</v>
      </c>
      <c r="Z118" s="9">
        <v>115</v>
      </c>
      <c r="AA118" s="22">
        <v>43655.177465277775</v>
      </c>
    </row>
    <row r="119" spans="1:27" s="9" customFormat="1" ht="12.75">
      <c r="A119" s="9" t="s">
        <v>288</v>
      </c>
      <c r="B119" s="9" t="s">
        <v>173</v>
      </c>
      <c r="C119" s="9">
        <v>1.9830000000000001</v>
      </c>
      <c r="D119" s="9">
        <v>15.023</v>
      </c>
      <c r="E119" s="9">
        <v>51.612000000000002</v>
      </c>
      <c r="F119" s="9">
        <v>0.313</v>
      </c>
      <c r="G119" s="9">
        <v>10.253</v>
      </c>
      <c r="H119" s="9">
        <v>0.17799999999999999</v>
      </c>
      <c r="I119" s="9">
        <v>7.58</v>
      </c>
      <c r="J119" s="9">
        <v>8.0310000000000006</v>
      </c>
      <c r="K119" s="9">
        <v>1.4259999999999999</v>
      </c>
      <c r="L119" s="9">
        <v>5.2999999999999999E-2</v>
      </c>
      <c r="M119" s="9">
        <v>0.55700000000000005</v>
      </c>
      <c r="Q119" s="9">
        <v>2.5999999999999999E-2</v>
      </c>
      <c r="R119" s="9">
        <v>0.21099999999999999</v>
      </c>
      <c r="S119" s="9">
        <v>97.245000000000005</v>
      </c>
      <c r="T119" s="9">
        <v>9606.2999999999993</v>
      </c>
      <c r="U119" s="9">
        <v>-953</v>
      </c>
      <c r="V119" s="9">
        <v>237</v>
      </c>
      <c r="W119" s="9" t="s">
        <v>173</v>
      </c>
      <c r="X119" s="9">
        <v>1152.17</v>
      </c>
      <c r="Y119" s="9">
        <v>12.132</v>
      </c>
      <c r="Z119" s="9">
        <v>116</v>
      </c>
      <c r="AA119" s="22">
        <v>43655.184178240743</v>
      </c>
    </row>
    <row r="120" spans="1:27" s="9" customFormat="1" ht="12.75">
      <c r="A120" s="9" t="s">
        <v>289</v>
      </c>
      <c r="B120" s="9" t="s">
        <v>173</v>
      </c>
      <c r="C120" s="9">
        <v>2.0009999999999999</v>
      </c>
      <c r="D120" s="9">
        <v>15.1</v>
      </c>
      <c r="E120" s="9">
        <v>51.7</v>
      </c>
      <c r="F120" s="9">
        <v>0.307</v>
      </c>
      <c r="G120" s="9">
        <v>10.294</v>
      </c>
      <c r="H120" s="9">
        <v>0.18</v>
      </c>
      <c r="I120" s="9">
        <v>7.65</v>
      </c>
      <c r="J120" s="9">
        <v>8.0980000000000008</v>
      </c>
      <c r="K120" s="9">
        <v>1.4359999999999999</v>
      </c>
      <c r="L120" s="9">
        <v>4.4999999999999998E-2</v>
      </c>
      <c r="M120" s="9">
        <v>0.55800000000000005</v>
      </c>
      <c r="Q120" s="9">
        <v>0</v>
      </c>
      <c r="R120" s="9">
        <v>0.192</v>
      </c>
      <c r="S120" s="9">
        <v>97.56</v>
      </c>
      <c r="T120" s="9">
        <v>9596.6</v>
      </c>
      <c r="U120" s="9">
        <v>-950.7</v>
      </c>
      <c r="V120" s="9">
        <v>237</v>
      </c>
      <c r="W120" s="9" t="s">
        <v>173</v>
      </c>
      <c r="X120" s="9">
        <v>1162.19</v>
      </c>
      <c r="Y120" s="9">
        <v>12.163</v>
      </c>
      <c r="Z120" s="9">
        <v>117</v>
      </c>
      <c r="AA120" s="22">
        <v>43655.190925925926</v>
      </c>
    </row>
    <row r="121" spans="1:27" s="9" customFormat="1" ht="12.75">
      <c r="A121" s="9" t="s">
        <v>290</v>
      </c>
      <c r="B121" s="9" t="s">
        <v>173</v>
      </c>
      <c r="C121" s="9">
        <v>1.9730000000000001</v>
      </c>
      <c r="D121" s="9">
        <v>15.08</v>
      </c>
      <c r="E121" s="9">
        <v>51.475999999999999</v>
      </c>
      <c r="F121" s="9">
        <v>0.318</v>
      </c>
      <c r="G121" s="9">
        <v>10.292</v>
      </c>
      <c r="H121" s="9">
        <v>0.16800000000000001</v>
      </c>
      <c r="I121" s="9">
        <v>7.61</v>
      </c>
      <c r="J121" s="9">
        <v>8.0619999999999994</v>
      </c>
      <c r="K121" s="9">
        <v>1.4410000000000001</v>
      </c>
      <c r="L121" s="9">
        <v>4.4999999999999998E-2</v>
      </c>
      <c r="M121" s="9">
        <v>0.55300000000000005</v>
      </c>
      <c r="Q121" s="9">
        <v>3.0000000000000001E-3</v>
      </c>
      <c r="R121" s="9">
        <v>0.21099999999999999</v>
      </c>
      <c r="S121" s="9">
        <v>97.231999999999999</v>
      </c>
      <c r="T121" s="9">
        <v>9586.7999999999993</v>
      </c>
      <c r="U121" s="9">
        <v>-948.5</v>
      </c>
      <c r="V121" s="9">
        <v>237</v>
      </c>
      <c r="W121" s="9" t="s">
        <v>173</v>
      </c>
      <c r="X121" s="9">
        <v>1172.21</v>
      </c>
      <c r="Y121" s="9">
        <v>12.122999999999999</v>
      </c>
      <c r="Z121" s="9">
        <v>118</v>
      </c>
      <c r="AA121" s="22">
        <v>43655.197650462964</v>
      </c>
    </row>
    <row r="122" spans="1:27" s="9" customFormat="1" ht="12.75">
      <c r="A122" s="9" t="s">
        <v>291</v>
      </c>
      <c r="B122" s="9" t="s">
        <v>173</v>
      </c>
      <c r="C122" s="9">
        <v>1.946</v>
      </c>
      <c r="D122" s="9">
        <v>15.063000000000001</v>
      </c>
      <c r="E122" s="9">
        <v>51.625</v>
      </c>
      <c r="F122" s="9">
        <v>0.318</v>
      </c>
      <c r="G122" s="9">
        <v>10.206</v>
      </c>
      <c r="H122" s="9">
        <v>0.13700000000000001</v>
      </c>
      <c r="I122" s="9">
        <v>7.6369999999999996</v>
      </c>
      <c r="J122" s="9">
        <v>8.1170000000000009</v>
      </c>
      <c r="K122" s="9">
        <v>1.4410000000000001</v>
      </c>
      <c r="L122" s="9">
        <v>4.2999999999999997E-2</v>
      </c>
      <c r="M122" s="9">
        <v>0.55300000000000005</v>
      </c>
      <c r="Q122" s="9">
        <v>0</v>
      </c>
      <c r="R122" s="9">
        <v>0.19900000000000001</v>
      </c>
      <c r="S122" s="9">
        <v>97.284999999999997</v>
      </c>
      <c r="T122" s="9">
        <v>9577</v>
      </c>
      <c r="U122" s="9">
        <v>-946.2</v>
      </c>
      <c r="V122" s="9">
        <v>237</v>
      </c>
      <c r="W122" s="9" t="s">
        <v>173</v>
      </c>
      <c r="X122" s="9">
        <v>1182.23</v>
      </c>
      <c r="Y122" s="9">
        <v>12.122</v>
      </c>
      <c r="Z122" s="9">
        <v>119</v>
      </c>
      <c r="AA122" s="22">
        <v>43655.204363425924</v>
      </c>
    </row>
    <row r="123" spans="1:27" s="9" customFormat="1" ht="12.75">
      <c r="A123" s="9" t="s">
        <v>292</v>
      </c>
      <c r="B123" s="9" t="s">
        <v>173</v>
      </c>
      <c r="C123" s="9">
        <v>2.036</v>
      </c>
      <c r="D123" s="9">
        <v>14.967000000000001</v>
      </c>
      <c r="E123" s="9">
        <v>51.680999999999997</v>
      </c>
      <c r="F123" s="9">
        <v>0.318</v>
      </c>
      <c r="G123" s="9">
        <v>10.263</v>
      </c>
      <c r="H123" s="9">
        <v>0.154</v>
      </c>
      <c r="I123" s="9">
        <v>7.5960000000000001</v>
      </c>
      <c r="J123" s="9">
        <v>8.0749999999999993</v>
      </c>
      <c r="K123" s="9">
        <v>1.4319999999999999</v>
      </c>
      <c r="L123" s="9">
        <v>4.3999999999999997E-2</v>
      </c>
      <c r="M123" s="9">
        <v>0.55900000000000005</v>
      </c>
      <c r="Q123" s="9">
        <v>0</v>
      </c>
      <c r="R123" s="9">
        <v>0.191</v>
      </c>
      <c r="S123" s="9">
        <v>97.316999999999993</v>
      </c>
      <c r="T123" s="9">
        <v>9567.2999999999993</v>
      </c>
      <c r="U123" s="9">
        <v>-944</v>
      </c>
      <c r="V123" s="9">
        <v>237</v>
      </c>
      <c r="W123" s="9" t="s">
        <v>173</v>
      </c>
      <c r="X123" s="9">
        <v>1192.25</v>
      </c>
      <c r="Y123" s="9">
        <v>12.127000000000001</v>
      </c>
      <c r="Z123" s="9">
        <v>120</v>
      </c>
      <c r="AA123" s="22">
        <v>43655.211122685185</v>
      </c>
    </row>
    <row r="124" spans="1:27" s="9" customFormat="1" ht="12.75">
      <c r="A124" s="9" t="s">
        <v>293</v>
      </c>
      <c r="B124" s="9" t="s">
        <v>173</v>
      </c>
      <c r="C124" s="9">
        <v>2.0019999999999998</v>
      </c>
      <c r="D124" s="9">
        <v>15.079000000000001</v>
      </c>
      <c r="E124" s="9">
        <v>51.616999999999997</v>
      </c>
      <c r="F124" s="9">
        <v>0.31</v>
      </c>
      <c r="G124" s="9">
        <v>10.288</v>
      </c>
      <c r="H124" s="9">
        <v>0.14899999999999999</v>
      </c>
      <c r="I124" s="9">
        <v>7.6369999999999996</v>
      </c>
      <c r="J124" s="9">
        <v>8.0660000000000007</v>
      </c>
      <c r="K124" s="9">
        <v>1.454</v>
      </c>
      <c r="L124" s="9">
        <v>4.3999999999999997E-2</v>
      </c>
      <c r="M124" s="9">
        <v>0.56299999999999994</v>
      </c>
      <c r="Q124" s="9">
        <v>6.0000000000000001E-3</v>
      </c>
      <c r="R124" s="9">
        <v>0.16800000000000001</v>
      </c>
      <c r="S124" s="9">
        <v>97.385000000000005</v>
      </c>
      <c r="T124" s="9">
        <v>9557.5</v>
      </c>
      <c r="U124" s="9">
        <v>-941.7</v>
      </c>
      <c r="V124" s="9">
        <v>237</v>
      </c>
      <c r="W124" s="9" t="s">
        <v>173</v>
      </c>
      <c r="X124" s="9">
        <v>1202.26</v>
      </c>
      <c r="Y124" s="9">
        <v>12.144</v>
      </c>
      <c r="Z124" s="9">
        <v>121</v>
      </c>
      <c r="AA124" s="22">
        <v>43655.217847222222</v>
      </c>
    </row>
    <row r="125" spans="1:27" s="9" customFormat="1" ht="12.75">
      <c r="A125" s="9" t="s">
        <v>294</v>
      </c>
      <c r="B125" s="9" t="s">
        <v>173</v>
      </c>
      <c r="C125" s="9">
        <v>2.1539999999999999</v>
      </c>
      <c r="D125" s="9">
        <v>15.023999999999999</v>
      </c>
      <c r="E125" s="9">
        <v>51.481000000000002</v>
      </c>
      <c r="F125" s="9">
        <v>0.29799999999999999</v>
      </c>
      <c r="G125" s="9">
        <v>10.319000000000001</v>
      </c>
      <c r="H125" s="9">
        <v>0.18</v>
      </c>
      <c r="I125" s="9">
        <v>7.6429999999999998</v>
      </c>
      <c r="J125" s="9">
        <v>8.07</v>
      </c>
      <c r="K125" s="9">
        <v>1.431</v>
      </c>
      <c r="L125" s="9">
        <v>0.05</v>
      </c>
      <c r="M125" s="9">
        <v>0.55000000000000004</v>
      </c>
      <c r="Q125" s="9">
        <v>0</v>
      </c>
      <c r="R125" s="9">
        <v>0.188</v>
      </c>
      <c r="S125" s="9">
        <v>97.388000000000005</v>
      </c>
      <c r="T125" s="9">
        <v>9547.7999999999993</v>
      </c>
      <c r="U125" s="9">
        <v>-939.5</v>
      </c>
      <c r="V125" s="9">
        <v>237</v>
      </c>
      <c r="W125" s="9" t="s">
        <v>173</v>
      </c>
      <c r="X125" s="9">
        <v>1212.28</v>
      </c>
      <c r="Y125" s="9">
        <v>12.141999999999999</v>
      </c>
      <c r="Z125" s="9">
        <v>122</v>
      </c>
      <c r="AA125" s="22">
        <v>43655.22457175926</v>
      </c>
    </row>
    <row r="126" spans="1:27" s="9" customFormat="1" ht="12.75">
      <c r="A126" s="9" t="s">
        <v>295</v>
      </c>
      <c r="B126" s="9" t="s">
        <v>173</v>
      </c>
      <c r="C126" s="9">
        <v>2.0030000000000001</v>
      </c>
      <c r="D126" s="9">
        <v>15.096</v>
      </c>
      <c r="E126" s="9">
        <v>51.63</v>
      </c>
      <c r="F126" s="9">
        <v>0.30199999999999999</v>
      </c>
      <c r="G126" s="9">
        <v>10.295</v>
      </c>
      <c r="H126" s="9">
        <v>0.188</v>
      </c>
      <c r="I126" s="9">
        <v>7.649</v>
      </c>
      <c r="J126" s="9">
        <v>8.0500000000000007</v>
      </c>
      <c r="K126" s="9">
        <v>1.4239999999999999</v>
      </c>
      <c r="L126" s="9">
        <v>4.3999999999999997E-2</v>
      </c>
      <c r="M126" s="9">
        <v>0.55800000000000005</v>
      </c>
      <c r="Q126" s="9">
        <v>0.01</v>
      </c>
      <c r="R126" s="9">
        <v>0.19400000000000001</v>
      </c>
      <c r="S126" s="9">
        <v>97.442999999999998</v>
      </c>
      <c r="T126" s="9">
        <v>9538</v>
      </c>
      <c r="U126" s="9">
        <v>-937.2</v>
      </c>
      <c r="V126" s="9">
        <v>237</v>
      </c>
      <c r="W126" s="9" t="s">
        <v>173</v>
      </c>
      <c r="X126" s="9">
        <v>1222.3</v>
      </c>
      <c r="Y126" s="9">
        <v>12.154999999999999</v>
      </c>
      <c r="Z126" s="9">
        <v>123</v>
      </c>
      <c r="AA126" s="22">
        <v>43655.23128472222</v>
      </c>
    </row>
    <row r="127" spans="1:27" s="9" customFormat="1" ht="12.75">
      <c r="A127" s="9" t="s">
        <v>296</v>
      </c>
      <c r="B127" s="9" t="s">
        <v>173</v>
      </c>
      <c r="C127" s="9">
        <v>1.9670000000000001</v>
      </c>
      <c r="D127" s="9">
        <v>15.071999999999999</v>
      </c>
      <c r="E127" s="9">
        <v>51.648000000000003</v>
      </c>
      <c r="F127" s="9">
        <v>0.313</v>
      </c>
      <c r="G127" s="9">
        <v>10.347</v>
      </c>
      <c r="H127" s="9">
        <v>0.16300000000000001</v>
      </c>
      <c r="I127" s="9">
        <v>7.5590000000000002</v>
      </c>
      <c r="J127" s="9">
        <v>8.0239999999999991</v>
      </c>
      <c r="K127" s="9">
        <v>1.419</v>
      </c>
      <c r="L127" s="9">
        <v>4.9000000000000002E-2</v>
      </c>
      <c r="M127" s="9">
        <v>0.56200000000000006</v>
      </c>
      <c r="Q127" s="9">
        <v>0</v>
      </c>
      <c r="R127" s="9">
        <v>0.184</v>
      </c>
      <c r="S127" s="9">
        <v>97.305999999999997</v>
      </c>
      <c r="T127" s="9">
        <v>9528.2000000000007</v>
      </c>
      <c r="U127" s="9">
        <v>-934.9</v>
      </c>
      <c r="V127" s="9">
        <v>237</v>
      </c>
      <c r="W127" s="9" t="s">
        <v>173</v>
      </c>
      <c r="X127" s="9">
        <v>1232.32</v>
      </c>
      <c r="Y127" s="9">
        <v>12.127000000000001</v>
      </c>
      <c r="Z127" s="9">
        <v>124</v>
      </c>
      <c r="AA127" s="22">
        <v>43655.238009259258</v>
      </c>
    </row>
    <row r="128" spans="1:27" s="9" customFormat="1" ht="12.75">
      <c r="A128" s="9" t="s">
        <v>297</v>
      </c>
      <c r="B128" s="9" t="s">
        <v>173</v>
      </c>
      <c r="C128" s="9">
        <v>1.929</v>
      </c>
      <c r="D128" s="9">
        <v>15.025</v>
      </c>
      <c r="E128" s="9">
        <v>51.491999999999997</v>
      </c>
      <c r="F128" s="9">
        <v>0.30599999999999999</v>
      </c>
      <c r="G128" s="9">
        <v>10.239000000000001</v>
      </c>
      <c r="H128" s="9">
        <v>0.17399999999999999</v>
      </c>
      <c r="I128" s="9">
        <v>7.5439999999999996</v>
      </c>
      <c r="J128" s="9">
        <v>8.0969999999999995</v>
      </c>
      <c r="K128" s="9">
        <v>1.4339999999999999</v>
      </c>
      <c r="L128" s="9">
        <v>5.0999999999999997E-2</v>
      </c>
      <c r="M128" s="9">
        <v>0.56000000000000005</v>
      </c>
      <c r="Q128" s="9">
        <v>0</v>
      </c>
      <c r="R128" s="9">
        <v>0.184</v>
      </c>
      <c r="S128" s="9">
        <v>97.037000000000006</v>
      </c>
      <c r="T128" s="9">
        <v>9518.5</v>
      </c>
      <c r="U128" s="9">
        <v>-932.7</v>
      </c>
      <c r="V128" s="9">
        <v>237</v>
      </c>
      <c r="W128" s="9" t="s">
        <v>173</v>
      </c>
      <c r="X128" s="9">
        <v>1242.3399999999999</v>
      </c>
      <c r="Y128" s="9">
        <v>12.092000000000001</v>
      </c>
      <c r="Z128" s="9">
        <v>125</v>
      </c>
      <c r="AA128" s="22">
        <v>43655.244745370372</v>
      </c>
    </row>
    <row r="129" spans="1:27" s="9" customFormat="1" ht="12.75">
      <c r="A129" s="9" t="s">
        <v>298</v>
      </c>
      <c r="B129" s="9" t="s">
        <v>173</v>
      </c>
      <c r="C129" s="9">
        <v>2.1219999999999999</v>
      </c>
      <c r="D129" s="9">
        <v>15.081</v>
      </c>
      <c r="E129" s="9">
        <v>51.406999999999996</v>
      </c>
      <c r="F129" s="9">
        <v>0.308</v>
      </c>
      <c r="G129" s="9">
        <v>10.215</v>
      </c>
      <c r="H129" s="9">
        <v>0.14000000000000001</v>
      </c>
      <c r="I129" s="9">
        <v>7.5720000000000001</v>
      </c>
      <c r="J129" s="9">
        <v>8.1140000000000008</v>
      </c>
      <c r="K129" s="9">
        <v>1.4410000000000001</v>
      </c>
      <c r="L129" s="9">
        <v>4.1000000000000002E-2</v>
      </c>
      <c r="M129" s="9">
        <v>0.56000000000000005</v>
      </c>
      <c r="Q129" s="9">
        <v>7.0000000000000001E-3</v>
      </c>
      <c r="R129" s="9">
        <v>0.19900000000000001</v>
      </c>
      <c r="S129" s="9">
        <v>97.206999999999994</v>
      </c>
      <c r="T129" s="9">
        <v>9508.7000000000007</v>
      </c>
      <c r="U129" s="9">
        <v>-930.4</v>
      </c>
      <c r="V129" s="9">
        <v>237</v>
      </c>
      <c r="W129" s="9" t="s">
        <v>173</v>
      </c>
      <c r="X129" s="9">
        <v>1252.3599999999999</v>
      </c>
      <c r="Y129" s="9">
        <v>12.111000000000001</v>
      </c>
      <c r="Z129" s="9">
        <v>126</v>
      </c>
      <c r="AA129" s="22">
        <v>43655.251458333332</v>
      </c>
    </row>
    <row r="130" spans="1:27" s="9" customFormat="1" ht="12.75">
      <c r="A130" s="9" t="s">
        <v>299</v>
      </c>
      <c r="B130" s="9" t="s">
        <v>173</v>
      </c>
      <c r="C130" s="9">
        <v>1.911</v>
      </c>
      <c r="D130" s="9">
        <v>15.04</v>
      </c>
      <c r="E130" s="9">
        <v>51.579000000000001</v>
      </c>
      <c r="F130" s="9">
        <v>0.30499999999999999</v>
      </c>
      <c r="G130" s="9">
        <v>10.238</v>
      </c>
      <c r="H130" s="9">
        <v>0.17699999999999999</v>
      </c>
      <c r="I130" s="9">
        <v>7.6959999999999997</v>
      </c>
      <c r="J130" s="9">
        <v>8.1069999999999993</v>
      </c>
      <c r="K130" s="9">
        <v>1.4370000000000001</v>
      </c>
      <c r="L130" s="9">
        <v>4.1000000000000002E-2</v>
      </c>
      <c r="M130" s="9">
        <v>0.56100000000000005</v>
      </c>
      <c r="Q130" s="9">
        <v>0</v>
      </c>
      <c r="R130" s="9">
        <v>0.20399999999999999</v>
      </c>
      <c r="S130" s="9">
        <v>97.296000000000006</v>
      </c>
      <c r="T130" s="9">
        <v>9498.9</v>
      </c>
      <c r="U130" s="9">
        <v>-928.2</v>
      </c>
      <c r="V130" s="9">
        <v>237</v>
      </c>
      <c r="W130" s="9" t="s">
        <v>173</v>
      </c>
      <c r="X130" s="9">
        <v>1262.3800000000001</v>
      </c>
      <c r="Y130" s="9">
        <v>12.135999999999999</v>
      </c>
      <c r="Z130" s="9">
        <v>127</v>
      </c>
      <c r="AA130" s="22">
        <v>43655.258194444446</v>
      </c>
    </row>
    <row r="131" spans="1:27" s="9" customFormat="1" ht="12.75">
      <c r="A131" s="9" t="s">
        <v>300</v>
      </c>
      <c r="B131" s="9" t="s">
        <v>173</v>
      </c>
      <c r="C131" s="9">
        <v>1.958</v>
      </c>
      <c r="D131" s="9">
        <v>14.992000000000001</v>
      </c>
      <c r="E131" s="9">
        <v>51.539000000000001</v>
      </c>
      <c r="F131" s="9">
        <v>0.312</v>
      </c>
      <c r="G131" s="9">
        <v>10.223000000000001</v>
      </c>
      <c r="H131" s="9">
        <v>0.16900000000000001</v>
      </c>
      <c r="I131" s="9">
        <v>7.6449999999999996</v>
      </c>
      <c r="J131" s="9">
        <v>8.0489999999999995</v>
      </c>
      <c r="K131" s="9">
        <v>1.4490000000000001</v>
      </c>
      <c r="L131" s="9">
        <v>4.1000000000000002E-2</v>
      </c>
      <c r="M131" s="9">
        <v>0.55600000000000005</v>
      </c>
      <c r="Q131" s="9">
        <v>2.1000000000000001E-2</v>
      </c>
      <c r="R131" s="9">
        <v>0.20799999999999999</v>
      </c>
      <c r="S131" s="9">
        <v>97.164000000000001</v>
      </c>
      <c r="T131" s="9">
        <v>9489.2000000000007</v>
      </c>
      <c r="U131" s="9">
        <v>-925.9</v>
      </c>
      <c r="V131" s="9">
        <v>237</v>
      </c>
      <c r="W131" s="9" t="s">
        <v>173</v>
      </c>
      <c r="X131" s="9">
        <v>1272.4000000000001</v>
      </c>
      <c r="Y131" s="9">
        <v>12.125999999999999</v>
      </c>
      <c r="Z131" s="9">
        <v>128</v>
      </c>
      <c r="AA131" s="22">
        <v>43655.264930555553</v>
      </c>
    </row>
    <row r="132" spans="1:27" s="9" customFormat="1" ht="12.75">
      <c r="A132" s="9" t="s">
        <v>301</v>
      </c>
      <c r="B132" s="9" t="s">
        <v>173</v>
      </c>
      <c r="C132" s="9">
        <v>1.8959999999999999</v>
      </c>
      <c r="D132" s="9">
        <v>15.057</v>
      </c>
      <c r="E132" s="9">
        <v>51.728000000000002</v>
      </c>
      <c r="F132" s="9">
        <v>0.30299999999999999</v>
      </c>
      <c r="G132" s="9">
        <v>10.331</v>
      </c>
      <c r="H132" s="9">
        <v>0.16500000000000001</v>
      </c>
      <c r="I132" s="9">
        <v>7.6289999999999996</v>
      </c>
      <c r="J132" s="9">
        <v>8.0030000000000001</v>
      </c>
      <c r="K132" s="9">
        <v>1.4510000000000001</v>
      </c>
      <c r="L132" s="9">
        <v>3.3000000000000002E-2</v>
      </c>
      <c r="M132" s="9">
        <v>0.56200000000000006</v>
      </c>
      <c r="Q132" s="9">
        <v>1.4E-2</v>
      </c>
      <c r="R132" s="9">
        <v>0.19</v>
      </c>
      <c r="S132" s="9">
        <v>97.364000000000004</v>
      </c>
      <c r="T132" s="9">
        <v>9479.4</v>
      </c>
      <c r="U132" s="9">
        <v>-923.7</v>
      </c>
      <c r="V132" s="9">
        <v>237</v>
      </c>
      <c r="W132" s="9" t="s">
        <v>173</v>
      </c>
      <c r="X132" s="9">
        <v>1282.4100000000001</v>
      </c>
      <c r="Y132" s="9">
        <v>12.148999999999999</v>
      </c>
      <c r="Z132" s="9">
        <v>129</v>
      </c>
      <c r="AA132" s="22">
        <v>43655.271643518521</v>
      </c>
    </row>
    <row r="133" spans="1:27" s="9" customFormat="1" ht="12.75">
      <c r="A133" s="9" t="s">
        <v>302</v>
      </c>
      <c r="B133" s="9" t="s">
        <v>173</v>
      </c>
      <c r="C133" s="9">
        <v>2.036</v>
      </c>
      <c r="D133" s="9">
        <v>15.125</v>
      </c>
      <c r="E133" s="9">
        <v>51.518000000000001</v>
      </c>
      <c r="F133" s="9">
        <v>0.31</v>
      </c>
      <c r="G133" s="9">
        <v>10.19</v>
      </c>
      <c r="H133" s="9">
        <v>0.161</v>
      </c>
      <c r="I133" s="9">
        <v>7.6829999999999998</v>
      </c>
      <c r="J133" s="9">
        <v>8.1270000000000007</v>
      </c>
      <c r="K133" s="9">
        <v>1.425</v>
      </c>
      <c r="L133" s="9">
        <v>4.7E-2</v>
      </c>
      <c r="M133" s="9">
        <v>0.56699999999999995</v>
      </c>
      <c r="Q133" s="9">
        <v>0</v>
      </c>
      <c r="R133" s="9">
        <v>0.20399999999999999</v>
      </c>
      <c r="S133" s="9">
        <v>97.394000000000005</v>
      </c>
      <c r="T133" s="9">
        <v>9469.7000000000007</v>
      </c>
      <c r="U133" s="9">
        <v>-921.4</v>
      </c>
      <c r="V133" s="9">
        <v>237</v>
      </c>
      <c r="W133" s="9" t="s">
        <v>173</v>
      </c>
      <c r="X133" s="9">
        <v>1292.43</v>
      </c>
      <c r="Y133" s="9">
        <v>12.141999999999999</v>
      </c>
      <c r="Z133" s="9">
        <v>130</v>
      </c>
      <c r="AA133" s="22">
        <v>43655.278368055559</v>
      </c>
    </row>
    <row r="134" spans="1:27" s="9" customFormat="1" ht="12.75">
      <c r="A134" s="9" t="s">
        <v>303</v>
      </c>
      <c r="B134" s="9" t="s">
        <v>173</v>
      </c>
      <c r="C134" s="9">
        <v>2.0289999999999999</v>
      </c>
      <c r="D134" s="9">
        <v>15.061999999999999</v>
      </c>
      <c r="E134" s="9">
        <v>51.515999999999998</v>
      </c>
      <c r="F134" s="9">
        <v>0.33300000000000002</v>
      </c>
      <c r="G134" s="9">
        <v>10.234</v>
      </c>
      <c r="H134" s="9">
        <v>0.17799999999999999</v>
      </c>
      <c r="I134" s="9">
        <v>7.5890000000000004</v>
      </c>
      <c r="J134" s="9">
        <v>8.0340000000000007</v>
      </c>
      <c r="K134" s="9">
        <v>1.4379999999999999</v>
      </c>
      <c r="L134" s="9">
        <v>4.2999999999999997E-2</v>
      </c>
      <c r="M134" s="9">
        <v>0.55200000000000005</v>
      </c>
      <c r="Q134" s="9">
        <v>0</v>
      </c>
      <c r="R134" s="9">
        <v>0.192</v>
      </c>
      <c r="S134" s="9">
        <v>97.2</v>
      </c>
      <c r="T134" s="9">
        <v>9459.9</v>
      </c>
      <c r="U134" s="9">
        <v>-919.2</v>
      </c>
      <c r="V134" s="9">
        <v>237</v>
      </c>
      <c r="W134" s="9" t="s">
        <v>173</v>
      </c>
      <c r="X134" s="9">
        <v>1302.45</v>
      </c>
      <c r="Y134" s="9">
        <v>12.114000000000001</v>
      </c>
      <c r="Z134" s="9">
        <v>131</v>
      </c>
      <c r="AA134" s="22">
        <v>43655.285115740742</v>
      </c>
    </row>
    <row r="135" spans="1:27" s="9" customFormat="1" ht="12.75">
      <c r="A135" s="9" t="s">
        <v>304</v>
      </c>
      <c r="B135" s="9" t="s">
        <v>173</v>
      </c>
      <c r="C135" s="9">
        <v>2.052</v>
      </c>
      <c r="D135" s="9">
        <v>15.122</v>
      </c>
      <c r="E135" s="9">
        <v>51.585000000000001</v>
      </c>
      <c r="F135" s="9">
        <v>0.29299999999999998</v>
      </c>
      <c r="G135" s="9">
        <v>10.282</v>
      </c>
      <c r="H135" s="9">
        <v>0.13800000000000001</v>
      </c>
      <c r="I135" s="9">
        <v>7.6050000000000004</v>
      </c>
      <c r="J135" s="9">
        <v>8.0350000000000001</v>
      </c>
      <c r="K135" s="9">
        <v>1.4279999999999999</v>
      </c>
      <c r="L135" s="9">
        <v>4.7E-2</v>
      </c>
      <c r="M135" s="9">
        <v>0.56100000000000005</v>
      </c>
      <c r="Q135" s="9">
        <v>0</v>
      </c>
      <c r="R135" s="9">
        <v>0.21</v>
      </c>
      <c r="S135" s="9">
        <v>97.356999999999999</v>
      </c>
      <c r="T135" s="9">
        <v>9450.1</v>
      </c>
      <c r="U135" s="9">
        <v>-916.9</v>
      </c>
      <c r="V135" s="9">
        <v>237</v>
      </c>
      <c r="W135" s="9" t="s">
        <v>173</v>
      </c>
      <c r="X135" s="9">
        <v>1312.47</v>
      </c>
      <c r="Y135" s="9">
        <v>12.13</v>
      </c>
      <c r="Z135" s="9">
        <v>132</v>
      </c>
      <c r="AA135" s="22">
        <v>43655.291851851849</v>
      </c>
    </row>
    <row r="136" spans="1:27" s="9" customFormat="1" ht="12.75">
      <c r="A136" s="9" t="s">
        <v>305</v>
      </c>
      <c r="B136" s="9" t="s">
        <v>173</v>
      </c>
      <c r="C136" s="9">
        <v>2.089</v>
      </c>
      <c r="D136" s="9">
        <v>15.138999999999999</v>
      </c>
      <c r="E136" s="9">
        <v>51.563000000000002</v>
      </c>
      <c r="F136" s="9">
        <v>0.32600000000000001</v>
      </c>
      <c r="G136" s="9">
        <v>10.319000000000001</v>
      </c>
      <c r="H136" s="9">
        <v>0.16700000000000001</v>
      </c>
      <c r="I136" s="9">
        <v>7.6040000000000001</v>
      </c>
      <c r="J136" s="9">
        <v>8.0500000000000007</v>
      </c>
      <c r="K136" s="9">
        <v>1.45</v>
      </c>
      <c r="L136" s="9">
        <v>4.8000000000000001E-2</v>
      </c>
      <c r="M136" s="9">
        <v>0.56000000000000005</v>
      </c>
      <c r="Q136" s="9">
        <v>7.0000000000000001E-3</v>
      </c>
      <c r="R136" s="9">
        <v>0.19</v>
      </c>
      <c r="S136" s="9">
        <v>97.512</v>
      </c>
      <c r="T136" s="9">
        <v>9440.4</v>
      </c>
      <c r="U136" s="9">
        <v>-914.7</v>
      </c>
      <c r="V136" s="9">
        <v>237</v>
      </c>
      <c r="W136" s="9" t="s">
        <v>173</v>
      </c>
      <c r="X136" s="9">
        <v>1322.49</v>
      </c>
      <c r="Y136" s="9">
        <v>12.157999999999999</v>
      </c>
      <c r="Z136" s="9">
        <v>133</v>
      </c>
      <c r="AA136" s="22">
        <v>43655.298576388886</v>
      </c>
    </row>
    <row r="137" spans="1:27" s="9" customFormat="1" ht="12.75">
      <c r="A137" s="9" t="s">
        <v>306</v>
      </c>
      <c r="B137" s="9" t="s">
        <v>173</v>
      </c>
      <c r="C137" s="9">
        <v>1.9490000000000001</v>
      </c>
      <c r="D137" s="9">
        <v>15.105</v>
      </c>
      <c r="E137" s="9">
        <v>51.610999999999997</v>
      </c>
      <c r="F137" s="9">
        <v>0.31900000000000001</v>
      </c>
      <c r="G137" s="9">
        <v>10.353999999999999</v>
      </c>
      <c r="H137" s="9">
        <v>0.183</v>
      </c>
      <c r="I137" s="9">
        <v>7.718</v>
      </c>
      <c r="J137" s="9">
        <v>8.0500000000000007</v>
      </c>
      <c r="K137" s="9">
        <v>1.4379999999999999</v>
      </c>
      <c r="L137" s="9">
        <v>4.3999999999999997E-2</v>
      </c>
      <c r="M137" s="9">
        <v>0.56799999999999995</v>
      </c>
      <c r="Q137" s="9">
        <v>2E-3</v>
      </c>
      <c r="R137" s="9">
        <v>0.20699999999999999</v>
      </c>
      <c r="S137" s="9">
        <v>97.549000000000007</v>
      </c>
      <c r="T137" s="9">
        <v>9430.6</v>
      </c>
      <c r="U137" s="9">
        <v>-912.4</v>
      </c>
      <c r="V137" s="9">
        <v>237</v>
      </c>
      <c r="W137" s="9" t="s">
        <v>173</v>
      </c>
      <c r="X137" s="9">
        <v>1332.51</v>
      </c>
      <c r="Y137" s="9">
        <v>12.177</v>
      </c>
      <c r="Z137" s="9">
        <v>134</v>
      </c>
      <c r="AA137" s="22">
        <v>43655.305324074077</v>
      </c>
    </row>
    <row r="138" spans="1:27" s="9" customFormat="1" ht="12.75">
      <c r="A138" s="9" t="s">
        <v>307</v>
      </c>
      <c r="B138" s="9" t="s">
        <v>173</v>
      </c>
      <c r="C138" s="9">
        <v>2.0339999999999998</v>
      </c>
      <c r="D138" s="9">
        <v>15.05</v>
      </c>
      <c r="E138" s="9">
        <v>51.576999999999998</v>
      </c>
      <c r="F138" s="9">
        <v>0.29899999999999999</v>
      </c>
      <c r="G138" s="9">
        <v>10.295</v>
      </c>
      <c r="H138" s="9">
        <v>0.14499999999999999</v>
      </c>
      <c r="I138" s="9">
        <v>7.6420000000000003</v>
      </c>
      <c r="J138" s="9">
        <v>8.0619999999999994</v>
      </c>
      <c r="K138" s="9">
        <v>1.4239999999999999</v>
      </c>
      <c r="L138" s="9">
        <v>4.2999999999999997E-2</v>
      </c>
      <c r="M138" s="9">
        <v>0.56200000000000006</v>
      </c>
      <c r="Q138" s="9">
        <v>0</v>
      </c>
      <c r="R138" s="9">
        <v>0.17699999999999999</v>
      </c>
      <c r="S138" s="9">
        <v>97.31</v>
      </c>
      <c r="T138" s="9">
        <v>9420.7999999999993</v>
      </c>
      <c r="U138" s="9">
        <v>-910.2</v>
      </c>
      <c r="V138" s="9">
        <v>237</v>
      </c>
      <c r="W138" s="9" t="s">
        <v>173</v>
      </c>
      <c r="X138" s="9">
        <v>1342.53</v>
      </c>
      <c r="Y138" s="9">
        <v>12.131</v>
      </c>
      <c r="Z138" s="9">
        <v>135</v>
      </c>
      <c r="AA138" s="22">
        <v>43655.312037037038</v>
      </c>
    </row>
    <row r="139" spans="1:27" s="9" customFormat="1" ht="12.75">
      <c r="A139" s="9" t="s">
        <v>308</v>
      </c>
      <c r="B139" s="9" t="s">
        <v>173</v>
      </c>
      <c r="C139" s="9">
        <v>2.19</v>
      </c>
      <c r="D139" s="9">
        <v>15.077999999999999</v>
      </c>
      <c r="E139" s="9">
        <v>51.325000000000003</v>
      </c>
      <c r="F139" s="9">
        <v>0.311</v>
      </c>
      <c r="G139" s="9">
        <v>10.305</v>
      </c>
      <c r="H139" s="9">
        <v>0.13600000000000001</v>
      </c>
      <c r="I139" s="9">
        <v>7.593</v>
      </c>
      <c r="J139" s="9">
        <v>8.0730000000000004</v>
      </c>
      <c r="K139" s="9">
        <v>1.4159999999999999</v>
      </c>
      <c r="L139" s="9">
        <v>4.4999999999999998E-2</v>
      </c>
      <c r="M139" s="9">
        <v>0.56100000000000005</v>
      </c>
      <c r="Q139" s="9">
        <v>1E-3</v>
      </c>
      <c r="R139" s="9">
        <v>0.16800000000000001</v>
      </c>
      <c r="S139" s="9">
        <v>97.201999999999998</v>
      </c>
      <c r="T139" s="9">
        <v>9411.1</v>
      </c>
      <c r="U139" s="9">
        <v>-907.9</v>
      </c>
      <c r="V139" s="9">
        <v>237</v>
      </c>
      <c r="W139" s="9" t="s">
        <v>173</v>
      </c>
      <c r="X139" s="9">
        <v>1352.55</v>
      </c>
      <c r="Y139" s="9">
        <v>12.113</v>
      </c>
      <c r="Z139" s="9">
        <v>136</v>
      </c>
      <c r="AA139" s="22">
        <v>43655.318784722222</v>
      </c>
    </row>
    <row r="140" spans="1:27" s="9" customFormat="1" ht="12.75">
      <c r="A140" s="9" t="s">
        <v>309</v>
      </c>
      <c r="B140" s="9" t="s">
        <v>173</v>
      </c>
      <c r="C140" s="9">
        <v>1.9870000000000001</v>
      </c>
      <c r="D140" s="9">
        <v>15.031000000000001</v>
      </c>
      <c r="E140" s="9">
        <v>51.597000000000001</v>
      </c>
      <c r="F140" s="9">
        <v>0.30399999999999999</v>
      </c>
      <c r="G140" s="9">
        <v>10.247</v>
      </c>
      <c r="H140" s="9">
        <v>0.159</v>
      </c>
      <c r="I140" s="9">
        <v>7.6340000000000003</v>
      </c>
      <c r="J140" s="9">
        <v>8.1430000000000007</v>
      </c>
      <c r="K140" s="9">
        <v>1.419</v>
      </c>
      <c r="L140" s="9">
        <v>0.05</v>
      </c>
      <c r="M140" s="9">
        <v>0.56299999999999994</v>
      </c>
      <c r="Q140" s="9">
        <v>3.6999999999999998E-2</v>
      </c>
      <c r="R140" s="9">
        <v>0.188</v>
      </c>
      <c r="S140" s="9">
        <v>97.36</v>
      </c>
      <c r="T140" s="9">
        <v>9401.2999999999993</v>
      </c>
      <c r="U140" s="9">
        <v>-905.7</v>
      </c>
      <c r="V140" s="9">
        <v>237</v>
      </c>
      <c r="W140" s="9" t="s">
        <v>173</v>
      </c>
      <c r="X140" s="9">
        <v>1362.57</v>
      </c>
      <c r="Y140" s="9">
        <v>12.154</v>
      </c>
      <c r="Z140" s="9">
        <v>137</v>
      </c>
      <c r="AA140" s="22">
        <v>43655.325532407405</v>
      </c>
    </row>
    <row r="141" spans="1:27" s="9" customFormat="1" ht="12.75">
      <c r="A141" s="9" t="s">
        <v>310</v>
      </c>
      <c r="B141" s="9" t="s">
        <v>173</v>
      </c>
      <c r="C141" s="9">
        <v>1.972</v>
      </c>
      <c r="D141" s="9">
        <v>15.177</v>
      </c>
      <c r="E141" s="9">
        <v>51.695999999999998</v>
      </c>
      <c r="F141" s="9">
        <v>0.31</v>
      </c>
      <c r="G141" s="9">
        <v>10.285</v>
      </c>
      <c r="H141" s="9">
        <v>0.153</v>
      </c>
      <c r="I141" s="9">
        <v>7.5750000000000002</v>
      </c>
      <c r="J141" s="9">
        <v>8.1199999999999992</v>
      </c>
      <c r="K141" s="9">
        <v>1.4550000000000001</v>
      </c>
      <c r="L141" s="9">
        <v>4.7E-2</v>
      </c>
      <c r="M141" s="9">
        <v>0.56999999999999995</v>
      </c>
      <c r="Q141" s="9">
        <v>0</v>
      </c>
      <c r="R141" s="9">
        <v>0.191</v>
      </c>
      <c r="S141" s="9">
        <v>97.552000000000007</v>
      </c>
      <c r="T141" s="9">
        <v>9391.6</v>
      </c>
      <c r="U141" s="9">
        <v>-903.4</v>
      </c>
      <c r="V141" s="9">
        <v>237</v>
      </c>
      <c r="W141" s="9" t="s">
        <v>173</v>
      </c>
      <c r="X141" s="9">
        <v>1372.58</v>
      </c>
      <c r="Y141" s="9">
        <v>12.154</v>
      </c>
      <c r="Z141" s="9">
        <v>138</v>
      </c>
      <c r="AA141" s="22">
        <v>43655.332256944443</v>
      </c>
    </row>
    <row r="142" spans="1:27" s="9" customFormat="1" ht="12.75">
      <c r="A142" s="9" t="s">
        <v>311</v>
      </c>
      <c r="B142" s="9" t="s">
        <v>173</v>
      </c>
      <c r="C142" s="9">
        <v>2.08</v>
      </c>
      <c r="D142" s="9">
        <v>15.064</v>
      </c>
      <c r="E142" s="9">
        <v>51.576000000000001</v>
      </c>
      <c r="F142" s="9">
        <v>0.29199999999999998</v>
      </c>
      <c r="G142" s="9">
        <v>10.332000000000001</v>
      </c>
      <c r="H142" s="9">
        <v>0.17799999999999999</v>
      </c>
      <c r="I142" s="9">
        <v>7.6230000000000002</v>
      </c>
      <c r="J142" s="9">
        <v>8.0939999999999994</v>
      </c>
      <c r="K142" s="9">
        <v>1.43</v>
      </c>
      <c r="L142" s="9">
        <v>4.2999999999999997E-2</v>
      </c>
      <c r="M142" s="9">
        <v>0.56599999999999995</v>
      </c>
      <c r="Q142" s="9">
        <v>1.7999999999999999E-2</v>
      </c>
      <c r="R142" s="9">
        <v>0.184</v>
      </c>
      <c r="S142" s="9">
        <v>97.480999999999995</v>
      </c>
      <c r="T142" s="9">
        <v>9381.7999999999993</v>
      </c>
      <c r="U142" s="9">
        <v>-901.2</v>
      </c>
      <c r="V142" s="9">
        <v>237</v>
      </c>
      <c r="W142" s="9" t="s">
        <v>173</v>
      </c>
      <c r="X142" s="9">
        <v>1382.6</v>
      </c>
      <c r="Y142" s="9">
        <v>12.162000000000001</v>
      </c>
      <c r="Z142" s="9">
        <v>139</v>
      </c>
      <c r="AA142" s="22">
        <v>43655.339016203703</v>
      </c>
    </row>
    <row r="143" spans="1:27" s="9" customFormat="1" ht="12.75">
      <c r="A143" s="9" t="s">
        <v>312</v>
      </c>
      <c r="B143" s="9" t="s">
        <v>173</v>
      </c>
      <c r="C143" s="9">
        <v>2.0219999999999998</v>
      </c>
      <c r="D143" s="9">
        <v>15.03</v>
      </c>
      <c r="E143" s="9">
        <v>51.707999999999998</v>
      </c>
      <c r="F143" s="9">
        <v>0.29499999999999998</v>
      </c>
      <c r="G143" s="9">
        <v>10.347</v>
      </c>
      <c r="H143" s="9">
        <v>0.17399999999999999</v>
      </c>
      <c r="I143" s="9">
        <v>7.601</v>
      </c>
      <c r="J143" s="9">
        <v>8.0190000000000001</v>
      </c>
      <c r="K143" s="9">
        <v>1.4330000000000001</v>
      </c>
      <c r="L143" s="9">
        <v>5.3999999999999999E-2</v>
      </c>
      <c r="M143" s="9">
        <v>0.56200000000000006</v>
      </c>
      <c r="Q143" s="9">
        <v>0</v>
      </c>
      <c r="R143" s="9">
        <v>0.19800000000000001</v>
      </c>
      <c r="S143" s="9">
        <v>97.442999999999998</v>
      </c>
      <c r="T143" s="9">
        <v>9372</v>
      </c>
      <c r="U143" s="9">
        <v>-898.9</v>
      </c>
      <c r="V143" s="9">
        <v>237</v>
      </c>
      <c r="W143" s="9" t="s">
        <v>173</v>
      </c>
      <c r="X143" s="9">
        <v>1392.62</v>
      </c>
      <c r="Y143" s="9">
        <v>12.148</v>
      </c>
      <c r="Z143" s="9">
        <v>140</v>
      </c>
      <c r="AA143" s="22">
        <v>43655.345763888887</v>
      </c>
    </row>
    <row r="144" spans="1:27" s="9" customFormat="1" ht="12.75">
      <c r="A144" s="9" t="s">
        <v>313</v>
      </c>
      <c r="B144" s="9" t="s">
        <v>173</v>
      </c>
      <c r="C144" s="9">
        <v>1.9650000000000001</v>
      </c>
      <c r="D144" s="9">
        <v>15.048</v>
      </c>
      <c r="E144" s="9">
        <v>51.655000000000001</v>
      </c>
      <c r="F144" s="9">
        <v>0.33800000000000002</v>
      </c>
      <c r="G144" s="9">
        <v>10.242000000000001</v>
      </c>
      <c r="H144" s="9">
        <v>0.14299999999999999</v>
      </c>
      <c r="I144" s="9">
        <v>7.6390000000000002</v>
      </c>
      <c r="J144" s="9">
        <v>8.1180000000000003</v>
      </c>
      <c r="K144" s="9">
        <v>1.4219999999999999</v>
      </c>
      <c r="L144" s="9">
        <v>4.5999999999999999E-2</v>
      </c>
      <c r="M144" s="9">
        <v>0.56699999999999995</v>
      </c>
      <c r="Q144" s="9">
        <v>0</v>
      </c>
      <c r="R144" s="9">
        <v>0.19800000000000001</v>
      </c>
      <c r="S144" s="9">
        <v>97.381</v>
      </c>
      <c r="T144" s="9">
        <v>9362.2999999999993</v>
      </c>
      <c r="U144" s="9">
        <v>-896.7</v>
      </c>
      <c r="V144" s="9">
        <v>237</v>
      </c>
      <c r="W144" s="9" t="s">
        <v>173</v>
      </c>
      <c r="X144" s="9">
        <v>1402.64</v>
      </c>
      <c r="Y144" s="9">
        <v>12.138999999999999</v>
      </c>
      <c r="Z144" s="9">
        <v>141</v>
      </c>
      <c r="AA144" s="22">
        <v>43655.352488425924</v>
      </c>
    </row>
    <row r="145" spans="1:27" s="9" customFormat="1" ht="12.75">
      <c r="A145" s="9" t="s">
        <v>314</v>
      </c>
      <c r="B145" s="9" t="s">
        <v>173</v>
      </c>
      <c r="C145" s="9">
        <v>1.958</v>
      </c>
      <c r="D145" s="9">
        <v>15.131</v>
      </c>
      <c r="E145" s="9">
        <v>51.417999999999999</v>
      </c>
      <c r="F145" s="9">
        <v>0.318</v>
      </c>
      <c r="G145" s="9">
        <v>10.285</v>
      </c>
      <c r="H145" s="9">
        <v>0.152</v>
      </c>
      <c r="I145" s="9">
        <v>7.59</v>
      </c>
      <c r="J145" s="9">
        <v>8.1519999999999992</v>
      </c>
      <c r="K145" s="9">
        <v>1.4279999999999999</v>
      </c>
      <c r="L145" s="9">
        <v>4.9000000000000002E-2</v>
      </c>
      <c r="M145" s="9">
        <v>0.56799999999999995</v>
      </c>
      <c r="Q145" s="9">
        <v>0</v>
      </c>
      <c r="R145" s="9">
        <v>0.183</v>
      </c>
      <c r="S145" s="9">
        <v>97.231999999999999</v>
      </c>
      <c r="T145" s="9">
        <v>9352.5</v>
      </c>
      <c r="U145" s="9">
        <v>-894.4</v>
      </c>
      <c r="V145" s="9">
        <v>237</v>
      </c>
      <c r="W145" s="9" t="s">
        <v>173</v>
      </c>
      <c r="X145" s="9">
        <v>1412.66</v>
      </c>
      <c r="Y145" s="9">
        <v>12.12</v>
      </c>
      <c r="Z145" s="9">
        <v>142</v>
      </c>
      <c r="AA145" s="22">
        <v>43655.359224537038</v>
      </c>
    </row>
    <row r="146" spans="1:27" s="9" customFormat="1" ht="12.75">
      <c r="A146" s="9" t="s">
        <v>315</v>
      </c>
      <c r="B146" s="9" t="s">
        <v>173</v>
      </c>
      <c r="C146" s="9">
        <v>2.08</v>
      </c>
      <c r="D146" s="9">
        <v>15.074</v>
      </c>
      <c r="E146" s="9">
        <v>51.524000000000001</v>
      </c>
      <c r="F146" s="9">
        <v>0.307</v>
      </c>
      <c r="G146" s="9">
        <v>10.26</v>
      </c>
      <c r="H146" s="9">
        <v>0.154</v>
      </c>
      <c r="I146" s="9">
        <v>7.569</v>
      </c>
      <c r="J146" s="9">
        <v>8.0109999999999992</v>
      </c>
      <c r="K146" s="9">
        <v>1.4339999999999999</v>
      </c>
      <c r="L146" s="9">
        <v>4.2000000000000003E-2</v>
      </c>
      <c r="M146" s="9">
        <v>0.56399999999999995</v>
      </c>
      <c r="Q146" s="9">
        <v>0</v>
      </c>
      <c r="R146" s="9">
        <v>0.20399999999999999</v>
      </c>
      <c r="S146" s="9">
        <v>97.221999999999994</v>
      </c>
      <c r="T146" s="9">
        <v>9342.7000000000007</v>
      </c>
      <c r="U146" s="9">
        <v>-892.1</v>
      </c>
      <c r="V146" s="9">
        <v>237</v>
      </c>
      <c r="W146" s="9" t="s">
        <v>173</v>
      </c>
      <c r="X146" s="9">
        <v>1422.68</v>
      </c>
      <c r="Y146" s="9">
        <v>12.113</v>
      </c>
      <c r="Z146" s="9">
        <v>143</v>
      </c>
      <c r="AA146" s="22">
        <v>43655.365972222222</v>
      </c>
    </row>
    <row r="147" spans="1:27" s="9" customFormat="1" ht="12.75">
      <c r="A147" s="9" t="s">
        <v>316</v>
      </c>
      <c r="B147" s="9" t="s">
        <v>173</v>
      </c>
      <c r="C147" s="9">
        <v>1.992</v>
      </c>
      <c r="D147" s="9">
        <v>15.102</v>
      </c>
      <c r="E147" s="9">
        <v>51.692999999999998</v>
      </c>
      <c r="F147" s="9">
        <v>0.32200000000000001</v>
      </c>
      <c r="G147" s="9">
        <v>10.282</v>
      </c>
      <c r="H147" s="9">
        <v>0.14699999999999999</v>
      </c>
      <c r="I147" s="9">
        <v>7.5940000000000003</v>
      </c>
      <c r="J147" s="9">
        <v>8.0359999999999996</v>
      </c>
      <c r="K147" s="9">
        <v>1.44</v>
      </c>
      <c r="L147" s="9">
        <v>4.2000000000000003E-2</v>
      </c>
      <c r="M147" s="9">
        <v>0.56699999999999995</v>
      </c>
      <c r="Q147" s="9">
        <v>0</v>
      </c>
      <c r="R147" s="9">
        <v>0.19800000000000001</v>
      </c>
      <c r="S147" s="9">
        <v>97.415999999999997</v>
      </c>
      <c r="T147" s="9">
        <v>9333</v>
      </c>
      <c r="U147" s="9">
        <v>-889.9</v>
      </c>
      <c r="V147" s="9">
        <v>237</v>
      </c>
      <c r="W147" s="9" t="s">
        <v>173</v>
      </c>
      <c r="X147" s="9">
        <v>1432.7</v>
      </c>
      <c r="Y147" s="9">
        <v>12.14</v>
      </c>
      <c r="Z147" s="9">
        <v>144</v>
      </c>
      <c r="AA147" s="22">
        <v>43655.372696759259</v>
      </c>
    </row>
    <row r="148" spans="1:27" s="9" customFormat="1" ht="12.75">
      <c r="A148" s="9" t="s">
        <v>317</v>
      </c>
      <c r="B148" s="9" t="s">
        <v>173</v>
      </c>
      <c r="C148" s="9">
        <v>1.893</v>
      </c>
      <c r="D148" s="9">
        <v>14.999000000000001</v>
      </c>
      <c r="E148" s="9">
        <v>51.465000000000003</v>
      </c>
      <c r="F148" s="9">
        <v>0.29699999999999999</v>
      </c>
      <c r="G148" s="9">
        <v>10.211</v>
      </c>
      <c r="H148" s="9">
        <v>0.16400000000000001</v>
      </c>
      <c r="I148" s="9">
        <v>7.6289999999999996</v>
      </c>
      <c r="J148" s="9">
        <v>8.0269999999999992</v>
      </c>
      <c r="K148" s="9">
        <v>1.431</v>
      </c>
      <c r="L148" s="9">
        <v>4.2000000000000003E-2</v>
      </c>
      <c r="M148" s="9">
        <v>0.56399999999999995</v>
      </c>
      <c r="Q148" s="9">
        <v>0</v>
      </c>
      <c r="R148" s="9">
        <v>0.20599999999999999</v>
      </c>
      <c r="S148" s="9">
        <v>96.929000000000002</v>
      </c>
      <c r="T148" s="9">
        <v>9323.2000000000007</v>
      </c>
      <c r="U148" s="9">
        <v>-887.6</v>
      </c>
      <c r="V148" s="9">
        <v>237</v>
      </c>
      <c r="W148" s="9" t="s">
        <v>173</v>
      </c>
      <c r="X148" s="9">
        <v>1442.72</v>
      </c>
      <c r="Y148" s="9">
        <v>12.087</v>
      </c>
      <c r="Z148" s="9">
        <v>145</v>
      </c>
      <c r="AA148" s="22">
        <v>43655.379432870373</v>
      </c>
    </row>
    <row r="149" spans="1:27" s="9" customFormat="1" ht="12.75">
      <c r="A149" s="9" t="s">
        <v>318</v>
      </c>
      <c r="B149" s="9" t="s">
        <v>173</v>
      </c>
      <c r="C149" s="9">
        <v>2.069</v>
      </c>
      <c r="D149" s="9">
        <v>15.039</v>
      </c>
      <c r="E149" s="9">
        <v>51.451000000000001</v>
      </c>
      <c r="F149" s="9">
        <v>0.29199999999999998</v>
      </c>
      <c r="G149" s="9">
        <v>10.319000000000001</v>
      </c>
      <c r="H149" s="9">
        <v>0.14799999999999999</v>
      </c>
      <c r="I149" s="9">
        <v>7.6289999999999996</v>
      </c>
      <c r="J149" s="9">
        <v>8.0210000000000008</v>
      </c>
      <c r="K149" s="9">
        <v>1.4450000000000001</v>
      </c>
      <c r="L149" s="9">
        <v>4.7E-2</v>
      </c>
      <c r="M149" s="9">
        <v>0.56999999999999995</v>
      </c>
      <c r="Q149" s="9">
        <v>0</v>
      </c>
      <c r="R149" s="9">
        <v>0.17</v>
      </c>
      <c r="S149" s="9">
        <v>97.198999999999998</v>
      </c>
      <c r="T149" s="9">
        <v>9313.5</v>
      </c>
      <c r="U149" s="9">
        <v>-885.4</v>
      </c>
      <c r="V149" s="9">
        <v>237</v>
      </c>
      <c r="W149" s="9" t="s">
        <v>173</v>
      </c>
      <c r="X149" s="9">
        <v>1452.74</v>
      </c>
      <c r="Y149" s="9">
        <v>12.121</v>
      </c>
      <c r="Z149" s="9">
        <v>146</v>
      </c>
      <c r="AA149" s="22">
        <v>43655.386157407411</v>
      </c>
    </row>
    <row r="150" spans="1:27" s="9" customFormat="1" ht="12.75">
      <c r="A150" s="9" t="s">
        <v>319</v>
      </c>
      <c r="B150" s="9" t="s">
        <v>173</v>
      </c>
      <c r="C150" s="9">
        <v>2.073</v>
      </c>
      <c r="D150" s="9">
        <v>15.067</v>
      </c>
      <c r="E150" s="9">
        <v>51.34</v>
      </c>
      <c r="F150" s="9">
        <v>0.318</v>
      </c>
      <c r="G150" s="9">
        <v>10.276</v>
      </c>
      <c r="H150" s="9">
        <v>0.14699999999999999</v>
      </c>
      <c r="I150" s="9">
        <v>7.6130000000000004</v>
      </c>
      <c r="J150" s="9">
        <v>8.0449999999999999</v>
      </c>
      <c r="K150" s="9">
        <v>1.4370000000000001</v>
      </c>
      <c r="L150" s="9">
        <v>4.8000000000000001E-2</v>
      </c>
      <c r="M150" s="9">
        <v>0.56699999999999995</v>
      </c>
      <c r="Q150" s="9">
        <v>1E-3</v>
      </c>
      <c r="R150" s="9">
        <v>0.19800000000000001</v>
      </c>
      <c r="S150" s="9">
        <v>97.131</v>
      </c>
      <c r="T150" s="9">
        <v>9303.7000000000007</v>
      </c>
      <c r="U150" s="9">
        <v>-883.1</v>
      </c>
      <c r="V150" s="9">
        <v>237</v>
      </c>
      <c r="W150" s="9" t="s">
        <v>173</v>
      </c>
      <c r="X150" s="9">
        <v>1462.75</v>
      </c>
      <c r="Y150" s="9">
        <v>12.111000000000001</v>
      </c>
      <c r="Z150" s="9">
        <v>147</v>
      </c>
      <c r="AA150" s="22">
        <v>43655.392893518518</v>
      </c>
    </row>
    <row r="151" spans="1:27" s="9" customFormat="1" ht="12.75">
      <c r="A151" s="9" t="s">
        <v>320</v>
      </c>
      <c r="B151" s="9" t="s">
        <v>173</v>
      </c>
      <c r="C151" s="9">
        <v>1.982</v>
      </c>
      <c r="D151" s="9">
        <v>15.082000000000001</v>
      </c>
      <c r="E151" s="9">
        <v>51.375999999999998</v>
      </c>
      <c r="F151" s="9">
        <v>0.308</v>
      </c>
      <c r="G151" s="9">
        <v>10.24</v>
      </c>
      <c r="H151" s="9">
        <v>0.158</v>
      </c>
      <c r="I151" s="9">
        <v>7.5170000000000003</v>
      </c>
      <c r="J151" s="9">
        <v>8.093</v>
      </c>
      <c r="K151" s="9">
        <v>1.415</v>
      </c>
      <c r="L151" s="9">
        <v>4.7E-2</v>
      </c>
      <c r="M151" s="9">
        <v>0.56699999999999995</v>
      </c>
      <c r="Q151" s="9">
        <v>1.0999999999999999E-2</v>
      </c>
      <c r="R151" s="9">
        <v>0.186</v>
      </c>
      <c r="S151" s="9">
        <v>96.981999999999999</v>
      </c>
      <c r="T151" s="9">
        <v>9293.9</v>
      </c>
      <c r="U151" s="9">
        <v>-880.9</v>
      </c>
      <c r="V151" s="9">
        <v>237</v>
      </c>
      <c r="W151" s="9" t="s">
        <v>173</v>
      </c>
      <c r="X151" s="9">
        <v>1472.77</v>
      </c>
      <c r="Y151" s="9">
        <v>12.087</v>
      </c>
      <c r="Z151" s="9">
        <v>148</v>
      </c>
      <c r="AA151" s="22">
        <v>43655.399618055555</v>
      </c>
    </row>
    <row r="152" spans="1:27" s="9" customFormat="1" ht="12.75">
      <c r="A152" s="9" t="s">
        <v>321</v>
      </c>
      <c r="B152" s="9" t="s">
        <v>173</v>
      </c>
      <c r="C152" s="9">
        <v>2.0529999999999999</v>
      </c>
      <c r="D152" s="9">
        <v>14.993</v>
      </c>
      <c r="E152" s="9">
        <v>51.503999999999998</v>
      </c>
      <c r="F152" s="9">
        <v>0.29799999999999999</v>
      </c>
      <c r="G152" s="9">
        <v>10.278</v>
      </c>
      <c r="H152" s="9">
        <v>0.189</v>
      </c>
      <c r="I152" s="9">
        <v>7.5730000000000004</v>
      </c>
      <c r="J152" s="9">
        <v>8.0370000000000008</v>
      </c>
      <c r="K152" s="9">
        <v>1.4370000000000001</v>
      </c>
      <c r="L152" s="9">
        <v>4.8000000000000001E-2</v>
      </c>
      <c r="M152" s="9">
        <v>0.56000000000000005</v>
      </c>
      <c r="Q152" s="9">
        <v>0</v>
      </c>
      <c r="R152" s="9">
        <v>0.2</v>
      </c>
      <c r="S152" s="9">
        <v>97.17</v>
      </c>
      <c r="T152" s="9">
        <v>9284.2000000000007</v>
      </c>
      <c r="U152" s="9">
        <v>-878.6</v>
      </c>
      <c r="V152" s="9">
        <v>237</v>
      </c>
      <c r="W152" s="9" t="s">
        <v>173</v>
      </c>
      <c r="X152" s="9">
        <v>1482.79</v>
      </c>
      <c r="Y152" s="9">
        <v>12.112</v>
      </c>
      <c r="Z152" s="9">
        <v>149</v>
      </c>
      <c r="AA152" s="22">
        <v>43655.406354166669</v>
      </c>
    </row>
    <row r="153" spans="1:27" s="9" customFormat="1" ht="12.75">
      <c r="A153" s="9" t="s">
        <v>322</v>
      </c>
      <c r="B153" s="9" t="s">
        <v>173</v>
      </c>
      <c r="C153" s="9">
        <v>1.968</v>
      </c>
      <c r="D153" s="9">
        <v>15.117000000000001</v>
      </c>
      <c r="E153" s="9">
        <v>51.512</v>
      </c>
      <c r="F153" s="9">
        <v>0.309</v>
      </c>
      <c r="G153" s="9">
        <v>10.233000000000001</v>
      </c>
      <c r="H153" s="9">
        <v>0.151</v>
      </c>
      <c r="I153" s="9">
        <v>7.58</v>
      </c>
      <c r="J153" s="9">
        <v>8.1059999999999999</v>
      </c>
      <c r="K153" s="9">
        <v>1.44</v>
      </c>
      <c r="L153" s="9">
        <v>0.04</v>
      </c>
      <c r="M153" s="9">
        <v>0.56999999999999995</v>
      </c>
      <c r="Q153" s="9">
        <v>6.0000000000000001E-3</v>
      </c>
      <c r="R153" s="9">
        <v>0.17100000000000001</v>
      </c>
      <c r="S153" s="9">
        <v>97.200999999999993</v>
      </c>
      <c r="T153" s="9">
        <v>9274.4</v>
      </c>
      <c r="U153" s="9">
        <v>-876.4</v>
      </c>
      <c r="V153" s="9">
        <v>237</v>
      </c>
      <c r="W153" s="9" t="s">
        <v>173</v>
      </c>
      <c r="X153" s="9">
        <v>1492.81</v>
      </c>
      <c r="Y153" s="9">
        <v>12.115</v>
      </c>
      <c r="Z153" s="9">
        <v>150</v>
      </c>
      <c r="AA153" s="22">
        <v>43655.413101851853</v>
      </c>
    </row>
    <row r="154" spans="1:27" s="9" customFormat="1" ht="12.75">
      <c r="A154" s="9" t="s">
        <v>323</v>
      </c>
      <c r="B154" s="9" t="s">
        <v>173</v>
      </c>
      <c r="C154" s="9">
        <v>2.0169999999999999</v>
      </c>
      <c r="D154" s="9">
        <v>15.021000000000001</v>
      </c>
      <c r="E154" s="9">
        <v>51.472999999999999</v>
      </c>
      <c r="F154" s="9">
        <v>0.314</v>
      </c>
      <c r="G154" s="9">
        <v>10.233000000000001</v>
      </c>
      <c r="H154" s="9">
        <v>0.14699999999999999</v>
      </c>
      <c r="I154" s="9">
        <v>7.5629999999999997</v>
      </c>
      <c r="J154" s="9">
        <v>8.08</v>
      </c>
      <c r="K154" s="9">
        <v>1.4410000000000001</v>
      </c>
      <c r="L154" s="9">
        <v>5.3999999999999999E-2</v>
      </c>
      <c r="M154" s="9">
        <v>0.56999999999999995</v>
      </c>
      <c r="Q154" s="9">
        <v>0</v>
      </c>
      <c r="R154" s="9">
        <v>0.2</v>
      </c>
      <c r="S154" s="9">
        <v>97.114000000000004</v>
      </c>
      <c r="T154" s="9">
        <v>9264.6</v>
      </c>
      <c r="U154" s="9">
        <v>-874.1</v>
      </c>
      <c r="V154" s="9">
        <v>237</v>
      </c>
      <c r="W154" s="9" t="s">
        <v>173</v>
      </c>
      <c r="X154" s="9">
        <v>1502.83</v>
      </c>
      <c r="Y154" s="9">
        <v>12.102</v>
      </c>
      <c r="Z154" s="9">
        <v>151</v>
      </c>
      <c r="AA154" s="22">
        <v>43655.41983796296</v>
      </c>
    </row>
    <row r="155" spans="1:27" s="9" customFormat="1" ht="12.75">
      <c r="A155" s="9" t="s">
        <v>324</v>
      </c>
      <c r="B155" s="9" t="s">
        <v>173</v>
      </c>
      <c r="C155" s="9">
        <v>1.9530000000000001</v>
      </c>
      <c r="D155" s="9">
        <v>15.066000000000001</v>
      </c>
      <c r="E155" s="9">
        <v>51.575000000000003</v>
      </c>
      <c r="F155" s="9">
        <v>0.30399999999999999</v>
      </c>
      <c r="G155" s="9">
        <v>10.266</v>
      </c>
      <c r="H155" s="9">
        <v>0.17100000000000001</v>
      </c>
      <c r="I155" s="9">
        <v>7.6379999999999999</v>
      </c>
      <c r="J155" s="9">
        <v>8.1150000000000002</v>
      </c>
      <c r="K155" s="9">
        <v>1.4259999999999999</v>
      </c>
      <c r="L155" s="9">
        <v>4.2999999999999997E-2</v>
      </c>
      <c r="M155" s="9">
        <v>0.57099999999999995</v>
      </c>
      <c r="Q155" s="9">
        <v>4.0000000000000001E-3</v>
      </c>
      <c r="R155" s="9">
        <v>0.20599999999999999</v>
      </c>
      <c r="S155" s="9">
        <v>97.337999999999994</v>
      </c>
      <c r="T155" s="9">
        <v>9254.9</v>
      </c>
      <c r="U155" s="9">
        <v>-871.9</v>
      </c>
      <c r="V155" s="9">
        <v>237</v>
      </c>
      <c r="W155" s="9" t="s">
        <v>173</v>
      </c>
      <c r="X155" s="9">
        <v>1512.85</v>
      </c>
      <c r="Y155" s="9">
        <v>12.138999999999999</v>
      </c>
      <c r="Z155" s="9">
        <v>152</v>
      </c>
      <c r="AA155" s="22">
        <v>43655.426574074074</v>
      </c>
    </row>
    <row r="156" spans="1:27" s="9" customFormat="1" ht="12.75">
      <c r="A156" s="9" t="s">
        <v>325</v>
      </c>
      <c r="B156" s="9" t="s">
        <v>173</v>
      </c>
      <c r="C156" s="9">
        <v>2.056</v>
      </c>
      <c r="D156" s="9">
        <v>15.07</v>
      </c>
      <c r="E156" s="9">
        <v>51.289000000000001</v>
      </c>
      <c r="F156" s="9">
        <v>0.312</v>
      </c>
      <c r="G156" s="9">
        <v>10.305999999999999</v>
      </c>
      <c r="H156" s="9">
        <v>0.15</v>
      </c>
      <c r="I156" s="9">
        <v>7.6479999999999997</v>
      </c>
      <c r="J156" s="9">
        <v>8.01</v>
      </c>
      <c r="K156" s="9">
        <v>1.4350000000000001</v>
      </c>
      <c r="L156" s="9">
        <v>4.3999999999999997E-2</v>
      </c>
      <c r="M156" s="9">
        <v>0.57299999999999995</v>
      </c>
      <c r="Q156" s="9">
        <v>0</v>
      </c>
      <c r="R156" s="9">
        <v>0.19400000000000001</v>
      </c>
      <c r="S156" s="9">
        <v>97.087000000000003</v>
      </c>
      <c r="T156" s="9">
        <v>9245.1</v>
      </c>
      <c r="U156" s="9">
        <v>-869.6</v>
      </c>
      <c r="V156" s="9">
        <v>237</v>
      </c>
      <c r="W156" s="9" t="s">
        <v>173</v>
      </c>
      <c r="X156" s="9">
        <v>1522.87</v>
      </c>
      <c r="Y156" s="9">
        <v>12.112</v>
      </c>
      <c r="Z156" s="9">
        <v>153</v>
      </c>
      <c r="AA156" s="22">
        <v>43655.433333333334</v>
      </c>
    </row>
    <row r="157" spans="1:27" s="9" customFormat="1" ht="12.75">
      <c r="A157" s="9" t="s">
        <v>326</v>
      </c>
      <c r="B157" s="9" t="s">
        <v>173</v>
      </c>
      <c r="C157" s="9">
        <v>2.0880000000000001</v>
      </c>
      <c r="D157" s="9">
        <v>15.051</v>
      </c>
      <c r="E157" s="9">
        <v>51.406999999999996</v>
      </c>
      <c r="F157" s="9">
        <v>0.30399999999999999</v>
      </c>
      <c r="G157" s="9">
        <v>10.247999999999999</v>
      </c>
      <c r="H157" s="9">
        <v>0.14699999999999999</v>
      </c>
      <c r="I157" s="9">
        <v>7.5720000000000001</v>
      </c>
      <c r="J157" s="9">
        <v>8.0150000000000006</v>
      </c>
      <c r="K157" s="9">
        <v>1.425</v>
      </c>
      <c r="L157" s="9">
        <v>0.04</v>
      </c>
      <c r="M157" s="9">
        <v>0.56699999999999995</v>
      </c>
      <c r="Q157" s="9">
        <v>0</v>
      </c>
      <c r="R157" s="9">
        <v>0.16900000000000001</v>
      </c>
      <c r="S157" s="9">
        <v>97.036000000000001</v>
      </c>
      <c r="T157" s="9">
        <v>9235.4</v>
      </c>
      <c r="U157" s="9">
        <v>-867.4</v>
      </c>
      <c r="V157" s="9">
        <v>237</v>
      </c>
      <c r="W157" s="9" t="s">
        <v>173</v>
      </c>
      <c r="X157" s="9">
        <v>1532.89</v>
      </c>
      <c r="Y157" s="9">
        <v>12.092000000000001</v>
      </c>
      <c r="Z157" s="9">
        <v>154</v>
      </c>
      <c r="AA157" s="22">
        <v>43655.440069444441</v>
      </c>
    </row>
    <row r="158" spans="1:27" s="9" customFormat="1" ht="12.75">
      <c r="A158" s="9" t="s">
        <v>327</v>
      </c>
      <c r="B158" s="9" t="s">
        <v>173</v>
      </c>
      <c r="C158" s="9">
        <v>1.964</v>
      </c>
      <c r="D158" s="9">
        <v>15.016</v>
      </c>
      <c r="E158" s="9">
        <v>51.402000000000001</v>
      </c>
      <c r="F158" s="9">
        <v>0.30599999999999999</v>
      </c>
      <c r="G158" s="9">
        <v>10.250999999999999</v>
      </c>
      <c r="H158" s="9">
        <v>0.14199999999999999</v>
      </c>
      <c r="I158" s="9">
        <v>7.6050000000000004</v>
      </c>
      <c r="J158" s="9">
        <v>8.0950000000000006</v>
      </c>
      <c r="K158" s="9">
        <v>1.427</v>
      </c>
      <c r="L158" s="9">
        <v>0.05</v>
      </c>
      <c r="M158" s="9">
        <v>0.57299999999999995</v>
      </c>
      <c r="Q158" s="9">
        <v>0</v>
      </c>
      <c r="R158" s="9">
        <v>0.186</v>
      </c>
      <c r="S158" s="9">
        <v>97.016999999999996</v>
      </c>
      <c r="T158" s="9">
        <v>9225.6</v>
      </c>
      <c r="U158" s="9">
        <v>-865.1</v>
      </c>
      <c r="V158" s="9">
        <v>237</v>
      </c>
      <c r="W158" s="9" t="s">
        <v>173</v>
      </c>
      <c r="X158" s="9">
        <v>1542.91</v>
      </c>
      <c r="Y158" s="9">
        <v>12.096</v>
      </c>
      <c r="Z158" s="9">
        <v>155</v>
      </c>
      <c r="AA158" s="22">
        <v>43655.446805555555</v>
      </c>
    </row>
    <row r="159" spans="1:27" s="9" customFormat="1" ht="12.75">
      <c r="A159" s="9" t="s">
        <v>328</v>
      </c>
      <c r="B159" s="9" t="s">
        <v>173</v>
      </c>
      <c r="C159" s="9">
        <v>1.958</v>
      </c>
      <c r="D159" s="9">
        <v>15.117000000000001</v>
      </c>
      <c r="E159" s="9">
        <v>51.261000000000003</v>
      </c>
      <c r="F159" s="9">
        <v>0.307</v>
      </c>
      <c r="G159" s="9">
        <v>10.196</v>
      </c>
      <c r="H159" s="9">
        <v>0.16</v>
      </c>
      <c r="I159" s="9">
        <v>7.649</v>
      </c>
      <c r="J159" s="9">
        <v>8.0630000000000006</v>
      </c>
      <c r="K159" s="9">
        <v>1.4390000000000001</v>
      </c>
      <c r="L159" s="9">
        <v>4.5999999999999999E-2</v>
      </c>
      <c r="M159" s="9">
        <v>0.57099999999999995</v>
      </c>
      <c r="Q159" s="9">
        <v>0</v>
      </c>
      <c r="R159" s="9">
        <v>0.188</v>
      </c>
      <c r="S159" s="9">
        <v>96.954999999999998</v>
      </c>
      <c r="T159" s="9">
        <v>9215.7999999999993</v>
      </c>
      <c r="U159" s="9">
        <v>-862.9</v>
      </c>
      <c r="V159" s="9">
        <v>237</v>
      </c>
      <c r="W159" s="9" t="s">
        <v>173</v>
      </c>
      <c r="X159" s="9">
        <v>1552.92</v>
      </c>
      <c r="Y159" s="9">
        <v>12.093</v>
      </c>
      <c r="Z159" s="9">
        <v>156</v>
      </c>
      <c r="AA159" s="22">
        <v>43655.453530092593</v>
      </c>
    </row>
    <row r="160" spans="1:27" s="9" customFormat="1" ht="12.75">
      <c r="A160" s="9" t="s">
        <v>329</v>
      </c>
      <c r="B160" s="9" t="s">
        <v>173</v>
      </c>
      <c r="C160" s="9">
        <v>2.145</v>
      </c>
      <c r="D160" s="9">
        <v>14.991</v>
      </c>
      <c r="E160" s="9">
        <v>51.247</v>
      </c>
      <c r="F160" s="9">
        <v>0.29899999999999999</v>
      </c>
      <c r="G160" s="9">
        <v>10.321999999999999</v>
      </c>
      <c r="H160" s="9">
        <v>0.16</v>
      </c>
      <c r="I160" s="9">
        <v>7.6</v>
      </c>
      <c r="J160" s="9">
        <v>7.9859999999999998</v>
      </c>
      <c r="K160" s="9">
        <v>1.425</v>
      </c>
      <c r="L160" s="9">
        <v>4.7E-2</v>
      </c>
      <c r="M160" s="9">
        <v>0.57599999999999996</v>
      </c>
      <c r="Q160" s="9">
        <v>1.2E-2</v>
      </c>
      <c r="R160" s="9">
        <v>0.17499999999999999</v>
      </c>
      <c r="S160" s="9">
        <v>96.983999999999995</v>
      </c>
      <c r="T160" s="9">
        <v>9206.1</v>
      </c>
      <c r="U160" s="9">
        <v>-860.6</v>
      </c>
      <c r="V160" s="9">
        <v>237</v>
      </c>
      <c r="W160" s="9" t="s">
        <v>173</v>
      </c>
      <c r="X160" s="9">
        <v>1562.94</v>
      </c>
      <c r="Y160" s="9">
        <v>12.103</v>
      </c>
      <c r="Z160" s="9">
        <v>157</v>
      </c>
      <c r="AA160" s="22">
        <v>43655.460266203707</v>
      </c>
    </row>
    <row r="161" spans="1:27" s="9" customFormat="1" ht="12.75">
      <c r="A161" s="9" t="s">
        <v>330</v>
      </c>
      <c r="B161" s="9" t="s">
        <v>173</v>
      </c>
      <c r="C161" s="9">
        <v>1.988</v>
      </c>
      <c r="D161" s="9">
        <v>15.09</v>
      </c>
      <c r="E161" s="9">
        <v>51.314999999999998</v>
      </c>
      <c r="F161" s="9">
        <v>0.312</v>
      </c>
      <c r="G161" s="9">
        <v>10.276999999999999</v>
      </c>
      <c r="H161" s="9">
        <v>0.17399999999999999</v>
      </c>
      <c r="I161" s="9">
        <v>7.5609999999999999</v>
      </c>
      <c r="J161" s="9">
        <v>8.0030000000000001</v>
      </c>
      <c r="K161" s="9">
        <v>1.4119999999999999</v>
      </c>
      <c r="L161" s="9">
        <v>4.2000000000000003E-2</v>
      </c>
      <c r="M161" s="9">
        <v>0.57299999999999995</v>
      </c>
      <c r="Q161" s="9">
        <v>4.0000000000000001E-3</v>
      </c>
      <c r="R161" s="9">
        <v>0.183</v>
      </c>
      <c r="S161" s="9">
        <v>96.933999999999997</v>
      </c>
      <c r="T161" s="9">
        <v>9196.2999999999993</v>
      </c>
      <c r="U161" s="9">
        <v>-858.4</v>
      </c>
      <c r="V161" s="9">
        <v>237</v>
      </c>
      <c r="W161" s="9" t="s">
        <v>173</v>
      </c>
      <c r="X161" s="9">
        <v>1572.96</v>
      </c>
      <c r="Y161" s="9">
        <v>12.087999999999999</v>
      </c>
      <c r="Z161" s="9">
        <v>158</v>
      </c>
      <c r="AA161" s="22">
        <v>43655.467002314814</v>
      </c>
    </row>
    <row r="162" spans="1:27" s="9" customFormat="1" ht="12.75">
      <c r="A162" s="9" t="s">
        <v>331</v>
      </c>
      <c r="B162" s="9" t="s">
        <v>173</v>
      </c>
      <c r="C162" s="9">
        <v>2.105</v>
      </c>
      <c r="D162" s="9">
        <v>15.048</v>
      </c>
      <c r="E162" s="9">
        <v>51.115000000000002</v>
      </c>
      <c r="F162" s="9">
        <v>0.316</v>
      </c>
      <c r="G162" s="9">
        <v>10.238</v>
      </c>
      <c r="H162" s="9">
        <v>0.16900000000000001</v>
      </c>
      <c r="I162" s="9">
        <v>7.6029999999999998</v>
      </c>
      <c r="J162" s="9">
        <v>8.048</v>
      </c>
      <c r="K162" s="9">
        <v>1.4339999999999999</v>
      </c>
      <c r="L162" s="9">
        <v>4.4999999999999998E-2</v>
      </c>
      <c r="M162" s="9">
        <v>0.56799999999999995</v>
      </c>
      <c r="Q162" s="9">
        <v>8.0000000000000002E-3</v>
      </c>
      <c r="R162" s="9">
        <v>0.19700000000000001</v>
      </c>
      <c r="S162" s="9">
        <v>96.891999999999996</v>
      </c>
      <c r="T162" s="9">
        <v>9186.5</v>
      </c>
      <c r="U162" s="9">
        <v>-856.1</v>
      </c>
      <c r="V162" s="9">
        <v>237</v>
      </c>
      <c r="W162" s="9" t="s">
        <v>173</v>
      </c>
      <c r="X162" s="9">
        <v>1582.98</v>
      </c>
      <c r="Y162" s="9">
        <v>12.087</v>
      </c>
      <c r="Z162" s="9">
        <v>159</v>
      </c>
      <c r="AA162" s="22">
        <v>43655.473715277774</v>
      </c>
    </row>
    <row r="163" spans="1:27" s="9" customFormat="1" ht="12.75">
      <c r="A163" s="9" t="s">
        <v>332</v>
      </c>
      <c r="B163" s="9" t="s">
        <v>173</v>
      </c>
      <c r="C163" s="9">
        <v>2.1640000000000001</v>
      </c>
      <c r="D163" s="9">
        <v>14.933999999999999</v>
      </c>
      <c r="E163" s="9">
        <v>50.93</v>
      </c>
      <c r="F163" s="9">
        <v>0.29299999999999998</v>
      </c>
      <c r="G163" s="9">
        <v>10.246</v>
      </c>
      <c r="H163" s="9">
        <v>0.14799999999999999</v>
      </c>
      <c r="I163" s="9">
        <v>7.4859999999999998</v>
      </c>
      <c r="J163" s="9">
        <v>8.0090000000000003</v>
      </c>
      <c r="K163" s="9">
        <v>1.4279999999999999</v>
      </c>
      <c r="L163" s="9">
        <v>4.3999999999999997E-2</v>
      </c>
      <c r="M163" s="9">
        <v>0.57499999999999996</v>
      </c>
      <c r="Q163" s="9">
        <v>0</v>
      </c>
      <c r="R163" s="9">
        <v>0.17199999999999999</v>
      </c>
      <c r="S163" s="9">
        <v>96.429000000000002</v>
      </c>
      <c r="T163" s="9">
        <v>9176.7999999999993</v>
      </c>
      <c r="U163" s="9">
        <v>-853.9</v>
      </c>
      <c r="V163" s="9">
        <v>237</v>
      </c>
      <c r="W163" s="9" t="s">
        <v>173</v>
      </c>
      <c r="X163" s="9">
        <v>1593</v>
      </c>
      <c r="Y163" s="9">
        <v>12.018000000000001</v>
      </c>
      <c r="Z163" s="9">
        <v>160</v>
      </c>
      <c r="AA163" s="22">
        <v>43655.480451388888</v>
      </c>
    </row>
    <row r="164" spans="1:27" s="9" customFormat="1" ht="12.75">
      <c r="A164" s="9" t="s">
        <v>333</v>
      </c>
      <c r="B164" s="9" t="s">
        <v>173</v>
      </c>
      <c r="C164" s="9">
        <v>1.962</v>
      </c>
      <c r="D164" s="9">
        <v>15.066000000000001</v>
      </c>
      <c r="E164" s="9">
        <v>51.088000000000001</v>
      </c>
      <c r="F164" s="9">
        <v>0.313</v>
      </c>
      <c r="G164" s="9">
        <v>10.227</v>
      </c>
      <c r="H164" s="9">
        <v>0.151</v>
      </c>
      <c r="I164" s="9">
        <v>7.5880000000000001</v>
      </c>
      <c r="J164" s="9">
        <v>8.1</v>
      </c>
      <c r="K164" s="9">
        <v>1.4319999999999999</v>
      </c>
      <c r="L164" s="9">
        <v>4.2000000000000003E-2</v>
      </c>
      <c r="M164" s="9">
        <v>0.57199999999999995</v>
      </c>
      <c r="Q164" s="9">
        <v>0.01</v>
      </c>
      <c r="R164" s="9">
        <v>0.189</v>
      </c>
      <c r="S164" s="9">
        <v>96.741</v>
      </c>
      <c r="T164" s="9">
        <v>9167</v>
      </c>
      <c r="U164" s="9">
        <v>-851.6</v>
      </c>
      <c r="V164" s="9">
        <v>237</v>
      </c>
      <c r="W164" s="9" t="s">
        <v>173</v>
      </c>
      <c r="X164" s="9">
        <v>1603.02</v>
      </c>
      <c r="Y164" s="9">
        <v>12.069000000000001</v>
      </c>
      <c r="Z164" s="9">
        <v>161</v>
      </c>
      <c r="AA164" s="22">
        <v>43655.487199074072</v>
      </c>
    </row>
    <row r="165" spans="1:27" s="9" customFormat="1" ht="12.75">
      <c r="A165" s="9" t="s">
        <v>334</v>
      </c>
      <c r="B165" s="9" t="s">
        <v>173</v>
      </c>
      <c r="C165" s="9">
        <v>1.9550000000000001</v>
      </c>
      <c r="D165" s="9">
        <v>15.048</v>
      </c>
      <c r="E165" s="9">
        <v>51.345999999999997</v>
      </c>
      <c r="F165" s="9">
        <v>0.314</v>
      </c>
      <c r="G165" s="9">
        <v>10.217000000000001</v>
      </c>
      <c r="H165" s="9">
        <v>0.151</v>
      </c>
      <c r="I165" s="9">
        <v>7.6760000000000002</v>
      </c>
      <c r="J165" s="9">
        <v>7.9950000000000001</v>
      </c>
      <c r="K165" s="9">
        <v>1.419</v>
      </c>
      <c r="L165" s="9">
        <v>4.4999999999999998E-2</v>
      </c>
      <c r="M165" s="9">
        <v>0.58499999999999996</v>
      </c>
      <c r="Q165" s="9">
        <v>0</v>
      </c>
      <c r="R165" s="9">
        <v>0.193</v>
      </c>
      <c r="S165" s="9">
        <v>96.944000000000003</v>
      </c>
      <c r="T165" s="9">
        <v>9157.2999999999993</v>
      </c>
      <c r="U165" s="9">
        <v>-849.4</v>
      </c>
      <c r="V165" s="9">
        <v>237</v>
      </c>
      <c r="W165" s="9" t="s">
        <v>173</v>
      </c>
      <c r="X165" s="9">
        <v>1613.04</v>
      </c>
      <c r="Y165" s="9">
        <v>12.097</v>
      </c>
      <c r="Z165" s="9">
        <v>162</v>
      </c>
      <c r="AA165" s="22">
        <v>43655.493958333333</v>
      </c>
    </row>
    <row r="166" spans="1:27" s="9" customFormat="1" ht="12.75">
      <c r="A166" s="9" t="s">
        <v>335</v>
      </c>
      <c r="B166" s="9" t="s">
        <v>173</v>
      </c>
      <c r="C166" s="9">
        <v>1.9890000000000001</v>
      </c>
      <c r="D166" s="9">
        <v>15.02</v>
      </c>
      <c r="E166" s="9">
        <v>51.076000000000001</v>
      </c>
      <c r="F166" s="9">
        <v>0.31</v>
      </c>
      <c r="G166" s="9">
        <v>10.269</v>
      </c>
      <c r="H166" s="9">
        <v>0.14899999999999999</v>
      </c>
      <c r="I166" s="9">
        <v>7.548</v>
      </c>
      <c r="J166" s="9">
        <v>8.0250000000000004</v>
      </c>
      <c r="K166" s="9">
        <v>1.415</v>
      </c>
      <c r="L166" s="9">
        <v>4.5999999999999999E-2</v>
      </c>
      <c r="M166" s="9">
        <v>0.58599999999999997</v>
      </c>
      <c r="Q166" s="9">
        <v>0</v>
      </c>
      <c r="R166" s="9">
        <v>0.17599999999999999</v>
      </c>
      <c r="S166" s="9">
        <v>96.608000000000004</v>
      </c>
      <c r="T166" s="9">
        <v>9147.5</v>
      </c>
      <c r="U166" s="9">
        <v>-847.1</v>
      </c>
      <c r="V166" s="9">
        <v>237</v>
      </c>
      <c r="W166" s="9" t="s">
        <v>173</v>
      </c>
      <c r="X166" s="9">
        <v>1623.06</v>
      </c>
      <c r="Y166" s="9">
        <v>12.048999999999999</v>
      </c>
      <c r="Z166" s="9">
        <v>163</v>
      </c>
      <c r="AA166" s="22">
        <v>43655.500706018516</v>
      </c>
    </row>
    <row r="167" spans="1:27" s="9" customFormat="1" ht="12.75">
      <c r="A167" s="9" t="s">
        <v>336</v>
      </c>
      <c r="B167" s="9" t="s">
        <v>173</v>
      </c>
      <c r="C167" s="9">
        <v>1.97</v>
      </c>
      <c r="D167" s="9">
        <v>15.067</v>
      </c>
      <c r="E167" s="9">
        <v>50.985999999999997</v>
      </c>
      <c r="F167" s="9">
        <v>0.30499999999999999</v>
      </c>
      <c r="G167" s="9">
        <v>10.340999999999999</v>
      </c>
      <c r="H167" s="9">
        <v>0.16900000000000001</v>
      </c>
      <c r="I167" s="9">
        <v>7.5839999999999996</v>
      </c>
      <c r="J167" s="9">
        <v>8.0739999999999998</v>
      </c>
      <c r="K167" s="9">
        <v>1.4159999999999999</v>
      </c>
      <c r="L167" s="9">
        <v>4.5999999999999999E-2</v>
      </c>
      <c r="M167" s="9">
        <v>0.58299999999999996</v>
      </c>
      <c r="Q167" s="9">
        <v>4.0000000000000001E-3</v>
      </c>
      <c r="R167" s="9">
        <v>0.184</v>
      </c>
      <c r="S167" s="9">
        <v>96.731999999999999</v>
      </c>
      <c r="T167" s="9">
        <v>9137.7000000000007</v>
      </c>
      <c r="U167" s="9">
        <v>-844.8</v>
      </c>
      <c r="V167" s="9">
        <v>237</v>
      </c>
      <c r="W167" s="9" t="s">
        <v>173</v>
      </c>
      <c r="X167" s="9">
        <v>1633.08</v>
      </c>
      <c r="Y167" s="9">
        <v>12.074</v>
      </c>
      <c r="Z167" s="9">
        <v>164</v>
      </c>
      <c r="AA167" s="22">
        <v>43655.507430555554</v>
      </c>
    </row>
    <row r="168" spans="1:27" s="9" customFormat="1" ht="12.75">
      <c r="A168" s="9" t="s">
        <v>337</v>
      </c>
      <c r="B168" s="9" t="s">
        <v>173</v>
      </c>
      <c r="C168" s="9">
        <v>2.0880000000000001</v>
      </c>
      <c r="D168" s="9">
        <v>14.920999999999999</v>
      </c>
      <c r="E168" s="9">
        <v>50.826999999999998</v>
      </c>
      <c r="F168" s="9">
        <v>0.30299999999999999</v>
      </c>
      <c r="G168" s="9">
        <v>10.250999999999999</v>
      </c>
      <c r="H168" s="9">
        <v>0.16200000000000001</v>
      </c>
      <c r="I168" s="9">
        <v>7.5679999999999996</v>
      </c>
      <c r="J168" s="9">
        <v>7.9589999999999996</v>
      </c>
      <c r="K168" s="9">
        <v>1.413</v>
      </c>
      <c r="L168" s="9">
        <v>3.6999999999999998E-2</v>
      </c>
      <c r="M168" s="9">
        <v>0.57499999999999996</v>
      </c>
      <c r="Q168" s="9">
        <v>0.01</v>
      </c>
      <c r="R168" s="9">
        <v>0.186</v>
      </c>
      <c r="S168" s="9">
        <v>96.301000000000002</v>
      </c>
      <c r="T168" s="9">
        <v>9128</v>
      </c>
      <c r="U168" s="9">
        <v>-842.6</v>
      </c>
      <c r="V168" s="9">
        <v>237</v>
      </c>
      <c r="W168" s="9" t="s">
        <v>173</v>
      </c>
      <c r="X168" s="9">
        <v>1643.09</v>
      </c>
      <c r="Y168" s="9">
        <v>12.02</v>
      </c>
      <c r="Z168" s="9">
        <v>165</v>
      </c>
      <c r="AA168" s="22">
        <v>43655.514178240737</v>
      </c>
    </row>
    <row r="169" spans="1:27" s="9" customFormat="1" ht="12.75">
      <c r="A169" s="9" t="s">
        <v>338</v>
      </c>
      <c r="B169" s="9" t="s">
        <v>173</v>
      </c>
      <c r="C169" s="9">
        <v>2.0089999999999999</v>
      </c>
      <c r="D169" s="9">
        <v>14.927</v>
      </c>
      <c r="E169" s="9">
        <v>50.87</v>
      </c>
      <c r="F169" s="9">
        <v>0.30399999999999999</v>
      </c>
      <c r="G169" s="9">
        <v>10.207000000000001</v>
      </c>
      <c r="H169" s="9">
        <v>0.14699999999999999</v>
      </c>
      <c r="I169" s="9">
        <v>7.5759999999999996</v>
      </c>
      <c r="J169" s="9">
        <v>8.0229999999999997</v>
      </c>
      <c r="K169" s="9">
        <v>1.397</v>
      </c>
      <c r="L169" s="9">
        <v>3.9E-2</v>
      </c>
      <c r="M169" s="9">
        <v>0.58599999999999997</v>
      </c>
      <c r="Q169" s="9">
        <v>1.0999999999999999E-2</v>
      </c>
      <c r="R169" s="9">
        <v>0.157</v>
      </c>
      <c r="S169" s="9">
        <v>96.251999999999995</v>
      </c>
      <c r="T169" s="9">
        <v>9118.2000000000007</v>
      </c>
      <c r="U169" s="9">
        <v>-840.3</v>
      </c>
      <c r="V169" s="9">
        <v>237</v>
      </c>
      <c r="W169" s="9" t="s">
        <v>173</v>
      </c>
      <c r="X169" s="9">
        <v>1653.11</v>
      </c>
      <c r="Y169" s="9">
        <v>12.013999999999999</v>
      </c>
      <c r="Z169" s="9">
        <v>166</v>
      </c>
      <c r="AA169" s="22">
        <v>43655.520914351851</v>
      </c>
    </row>
    <row r="170" spans="1:27" s="9" customFormat="1" ht="12.75">
      <c r="A170" s="9" t="s">
        <v>339</v>
      </c>
      <c r="B170" s="9" t="s">
        <v>173</v>
      </c>
      <c r="C170" s="9">
        <v>2.08</v>
      </c>
      <c r="D170" s="9">
        <v>14.898</v>
      </c>
      <c r="E170" s="9">
        <v>51.073999999999998</v>
      </c>
      <c r="F170" s="9">
        <v>0.30099999999999999</v>
      </c>
      <c r="G170" s="9">
        <v>10.244</v>
      </c>
      <c r="H170" s="9">
        <v>0.16</v>
      </c>
      <c r="I170" s="9">
        <v>7.5069999999999997</v>
      </c>
      <c r="J170" s="9">
        <v>7.9870000000000001</v>
      </c>
      <c r="K170" s="9">
        <v>1.3959999999999999</v>
      </c>
      <c r="L170" s="9">
        <v>5.2999999999999999E-2</v>
      </c>
      <c r="M170" s="9">
        <v>0.58799999999999997</v>
      </c>
      <c r="Q170" s="9">
        <v>0</v>
      </c>
      <c r="R170" s="9">
        <v>0.17899999999999999</v>
      </c>
      <c r="S170" s="9">
        <v>96.466999999999999</v>
      </c>
      <c r="T170" s="9">
        <v>9108.4</v>
      </c>
      <c r="U170" s="9">
        <v>-838.1</v>
      </c>
      <c r="V170" s="9">
        <v>237</v>
      </c>
      <c r="W170" s="9" t="s">
        <v>173</v>
      </c>
      <c r="X170" s="9">
        <v>1663.13</v>
      </c>
      <c r="Y170" s="9">
        <v>12.028</v>
      </c>
      <c r="Z170" s="9">
        <v>167</v>
      </c>
      <c r="AA170" s="22">
        <v>43655.527627314812</v>
      </c>
    </row>
    <row r="171" spans="1:27" s="9" customFormat="1" ht="12.75">
      <c r="A171" s="9" t="s">
        <v>340</v>
      </c>
      <c r="B171" s="9" t="s">
        <v>173</v>
      </c>
      <c r="C171" s="9">
        <v>1.9079999999999999</v>
      </c>
      <c r="D171" s="9">
        <v>15.018000000000001</v>
      </c>
      <c r="E171" s="9">
        <v>51.116999999999997</v>
      </c>
      <c r="F171" s="9">
        <v>0.313</v>
      </c>
      <c r="G171" s="9">
        <v>10.144</v>
      </c>
      <c r="H171" s="9">
        <v>0.17299999999999999</v>
      </c>
      <c r="I171" s="9">
        <v>7.5540000000000003</v>
      </c>
      <c r="J171" s="9">
        <v>8.0009999999999994</v>
      </c>
      <c r="K171" s="9">
        <v>1.427</v>
      </c>
      <c r="L171" s="9">
        <v>0.05</v>
      </c>
      <c r="M171" s="9">
        <v>0.59199999999999997</v>
      </c>
      <c r="Q171" s="9">
        <v>0</v>
      </c>
      <c r="R171" s="9">
        <v>0.187</v>
      </c>
      <c r="S171" s="9">
        <v>96.481999999999999</v>
      </c>
      <c r="T171" s="9">
        <v>9098.7000000000007</v>
      </c>
      <c r="U171" s="9">
        <v>-835.8</v>
      </c>
      <c r="V171" s="9">
        <v>237</v>
      </c>
      <c r="W171" s="9" t="s">
        <v>173</v>
      </c>
      <c r="X171" s="9">
        <v>1673.15</v>
      </c>
      <c r="Y171" s="9">
        <v>12.034000000000001</v>
      </c>
      <c r="Z171" s="9">
        <v>168</v>
      </c>
      <c r="AA171" s="22">
        <v>43655.534363425926</v>
      </c>
    </row>
    <row r="172" spans="1:27" s="9" customFormat="1" ht="12.75">
      <c r="A172" s="9" t="s">
        <v>341</v>
      </c>
      <c r="B172" s="9" t="s">
        <v>173</v>
      </c>
      <c r="C172" s="9">
        <v>1.9219999999999999</v>
      </c>
      <c r="D172" s="9">
        <v>14.978999999999999</v>
      </c>
      <c r="E172" s="9">
        <v>51.034999999999997</v>
      </c>
      <c r="F172" s="9">
        <v>0.307</v>
      </c>
      <c r="G172" s="9">
        <v>10.122999999999999</v>
      </c>
      <c r="H172" s="9">
        <v>0.17199999999999999</v>
      </c>
      <c r="I172" s="9">
        <v>7.5970000000000004</v>
      </c>
      <c r="J172" s="9">
        <v>7.9610000000000003</v>
      </c>
      <c r="K172" s="9">
        <v>1.413</v>
      </c>
      <c r="L172" s="9">
        <v>4.8000000000000001E-2</v>
      </c>
      <c r="M172" s="9">
        <v>0.60699999999999998</v>
      </c>
      <c r="Q172" s="9">
        <v>0</v>
      </c>
      <c r="R172" s="9">
        <v>0.21199999999999999</v>
      </c>
      <c r="S172" s="9">
        <v>96.376000000000005</v>
      </c>
      <c r="T172" s="9">
        <v>9088.9</v>
      </c>
      <c r="U172" s="9">
        <v>-833.6</v>
      </c>
      <c r="V172" s="9">
        <v>237</v>
      </c>
      <c r="W172" s="9" t="s">
        <v>173</v>
      </c>
      <c r="X172" s="9">
        <v>1683.17</v>
      </c>
      <c r="Y172" s="9">
        <v>12.028</v>
      </c>
      <c r="Z172" s="9">
        <v>169</v>
      </c>
      <c r="AA172" s="22">
        <v>43655.54111111111</v>
      </c>
    </row>
    <row r="173" spans="1:27" s="9" customFormat="1" ht="12.75">
      <c r="A173" s="9" t="s">
        <v>342</v>
      </c>
      <c r="B173" s="9" t="s">
        <v>173</v>
      </c>
      <c r="C173" s="9">
        <v>1.9510000000000001</v>
      </c>
      <c r="D173" s="9">
        <v>15.016999999999999</v>
      </c>
      <c r="E173" s="9">
        <v>51.064999999999998</v>
      </c>
      <c r="F173" s="9">
        <v>0.30199999999999999</v>
      </c>
      <c r="G173" s="9">
        <v>10.194000000000001</v>
      </c>
      <c r="H173" s="9">
        <v>0.16400000000000001</v>
      </c>
      <c r="I173" s="9">
        <v>7.6740000000000004</v>
      </c>
      <c r="J173" s="9">
        <v>8.0329999999999995</v>
      </c>
      <c r="K173" s="9">
        <v>1.393</v>
      </c>
      <c r="L173" s="9">
        <v>4.4999999999999998E-2</v>
      </c>
      <c r="M173" s="9">
        <v>0.61199999999999999</v>
      </c>
      <c r="Q173" s="9">
        <v>5.0000000000000001E-3</v>
      </c>
      <c r="R173" s="9">
        <v>0.16300000000000001</v>
      </c>
      <c r="S173" s="9">
        <v>96.617999999999995</v>
      </c>
      <c r="T173" s="9">
        <v>9079.2000000000007</v>
      </c>
      <c r="U173" s="9">
        <v>-831.3</v>
      </c>
      <c r="V173" s="9">
        <v>237</v>
      </c>
      <c r="W173" s="9" t="s">
        <v>173</v>
      </c>
      <c r="X173" s="9">
        <v>1693.19</v>
      </c>
      <c r="Y173" s="9">
        <v>12.068</v>
      </c>
      <c r="Z173" s="9">
        <v>170</v>
      </c>
      <c r="AA173" s="22">
        <v>43655.547858796293</v>
      </c>
    </row>
    <row r="174" spans="1:27" s="9" customFormat="1" ht="12.75">
      <c r="A174" s="9" t="s">
        <v>343</v>
      </c>
      <c r="B174" s="9" t="s">
        <v>173</v>
      </c>
      <c r="C174" s="9">
        <v>1.915</v>
      </c>
      <c r="D174" s="9">
        <v>14.97</v>
      </c>
      <c r="E174" s="9">
        <v>51.149000000000001</v>
      </c>
      <c r="F174" s="9">
        <v>0.30099999999999999</v>
      </c>
      <c r="G174" s="9">
        <v>10.242000000000001</v>
      </c>
      <c r="H174" s="9">
        <v>0.13800000000000001</v>
      </c>
      <c r="I174" s="9">
        <v>7.4870000000000001</v>
      </c>
      <c r="J174" s="9">
        <v>7.98</v>
      </c>
      <c r="K174" s="9">
        <v>1.415</v>
      </c>
      <c r="L174" s="9">
        <v>4.1000000000000002E-2</v>
      </c>
      <c r="M174" s="9">
        <v>0.61299999999999999</v>
      </c>
      <c r="Q174" s="9">
        <v>0</v>
      </c>
      <c r="R174" s="9">
        <v>0.18</v>
      </c>
      <c r="S174" s="9">
        <v>96.43</v>
      </c>
      <c r="T174" s="9">
        <v>9069.4</v>
      </c>
      <c r="U174" s="9">
        <v>-829.1</v>
      </c>
      <c r="V174" s="9">
        <v>237</v>
      </c>
      <c r="W174" s="9" t="s">
        <v>173</v>
      </c>
      <c r="X174" s="9">
        <v>1703.21</v>
      </c>
      <c r="Y174" s="9">
        <v>12.026</v>
      </c>
      <c r="Z174" s="9">
        <v>171</v>
      </c>
      <c r="AA174" s="22">
        <v>43655.554594907408</v>
      </c>
    </row>
    <row r="175" spans="1:27" s="9" customFormat="1" ht="12.75">
      <c r="A175" s="9" t="s">
        <v>344</v>
      </c>
      <c r="B175" s="9" t="s">
        <v>173</v>
      </c>
      <c r="C175" s="9">
        <v>1.946</v>
      </c>
      <c r="D175" s="9">
        <v>14.96</v>
      </c>
      <c r="E175" s="9">
        <v>51.031999999999996</v>
      </c>
      <c r="F175" s="9">
        <v>0.30399999999999999</v>
      </c>
      <c r="G175" s="9">
        <v>10.199999999999999</v>
      </c>
      <c r="H175" s="9">
        <v>0.13700000000000001</v>
      </c>
      <c r="I175" s="9">
        <v>7.585</v>
      </c>
      <c r="J175" s="9">
        <v>7.97</v>
      </c>
      <c r="K175" s="9">
        <v>1.4159999999999999</v>
      </c>
      <c r="L175" s="9">
        <v>4.4999999999999998E-2</v>
      </c>
      <c r="M175" s="9">
        <v>0.61099999999999999</v>
      </c>
      <c r="Q175" s="9">
        <v>0</v>
      </c>
      <c r="R175" s="9">
        <v>0.17199999999999999</v>
      </c>
      <c r="S175" s="9">
        <v>96.378</v>
      </c>
      <c r="T175" s="9">
        <v>9059.6</v>
      </c>
      <c r="U175" s="9">
        <v>-826.8</v>
      </c>
      <c r="V175" s="9">
        <v>237</v>
      </c>
      <c r="W175" s="9" t="s">
        <v>173</v>
      </c>
      <c r="X175" s="9">
        <v>1713.23</v>
      </c>
      <c r="Y175" s="9">
        <v>12.028</v>
      </c>
      <c r="Z175" s="9">
        <v>172</v>
      </c>
      <c r="AA175" s="22">
        <v>43655.561319444445</v>
      </c>
    </row>
    <row r="176" spans="1:27" s="9" customFormat="1" ht="12.75">
      <c r="A176" s="9" t="s">
        <v>345</v>
      </c>
      <c r="B176" s="9" t="s">
        <v>173</v>
      </c>
      <c r="C176" s="9">
        <v>2.0790000000000002</v>
      </c>
      <c r="D176" s="9">
        <v>14.978999999999999</v>
      </c>
      <c r="E176" s="9">
        <v>50.975999999999999</v>
      </c>
      <c r="F176" s="9">
        <v>0.308</v>
      </c>
      <c r="G176" s="9">
        <v>10.18</v>
      </c>
      <c r="H176" s="9">
        <v>0.14599999999999999</v>
      </c>
      <c r="I176" s="9">
        <v>7.4829999999999997</v>
      </c>
      <c r="J176" s="9">
        <v>7.9740000000000002</v>
      </c>
      <c r="K176" s="9">
        <v>1.423</v>
      </c>
      <c r="L176" s="9">
        <v>3.9E-2</v>
      </c>
      <c r="M176" s="9">
        <v>0.622</v>
      </c>
      <c r="Q176" s="9">
        <v>1.7000000000000001E-2</v>
      </c>
      <c r="R176" s="9">
        <v>0.17299999999999999</v>
      </c>
      <c r="S176" s="9">
        <v>96.399000000000001</v>
      </c>
      <c r="T176" s="9">
        <v>9049.9</v>
      </c>
      <c r="U176" s="9">
        <v>-824.6</v>
      </c>
      <c r="V176" s="9">
        <v>237</v>
      </c>
      <c r="W176" s="9" t="s">
        <v>173</v>
      </c>
      <c r="X176" s="9">
        <v>1723.25</v>
      </c>
      <c r="Y176" s="9">
        <v>12.03</v>
      </c>
      <c r="Z176" s="9">
        <v>173</v>
      </c>
      <c r="AA176" s="22">
        <v>43655.568043981482</v>
      </c>
    </row>
    <row r="177" spans="1:27" s="9" customFormat="1" ht="12.75">
      <c r="A177" s="9" t="s">
        <v>346</v>
      </c>
      <c r="B177" s="9" t="s">
        <v>173</v>
      </c>
      <c r="C177" s="9">
        <v>1.9970000000000001</v>
      </c>
      <c r="D177" s="9">
        <v>14.968999999999999</v>
      </c>
      <c r="E177" s="9">
        <v>51.116999999999997</v>
      </c>
      <c r="F177" s="9">
        <v>0.28100000000000003</v>
      </c>
      <c r="G177" s="9">
        <v>10.253</v>
      </c>
      <c r="H177" s="9">
        <v>0.182</v>
      </c>
      <c r="I177" s="9">
        <v>7.633</v>
      </c>
      <c r="J177" s="9">
        <v>8</v>
      </c>
      <c r="K177" s="9">
        <v>1.391</v>
      </c>
      <c r="L177" s="9">
        <v>4.7E-2</v>
      </c>
      <c r="M177" s="9">
        <v>0.63</v>
      </c>
      <c r="Q177" s="9">
        <v>1.4E-2</v>
      </c>
      <c r="R177" s="9">
        <v>0.17799999999999999</v>
      </c>
      <c r="S177" s="9">
        <v>96.691000000000003</v>
      </c>
      <c r="T177" s="9">
        <v>9040.1</v>
      </c>
      <c r="U177" s="9">
        <v>-822.3</v>
      </c>
      <c r="V177" s="9">
        <v>237</v>
      </c>
      <c r="W177" s="9" t="s">
        <v>173</v>
      </c>
      <c r="X177" s="9">
        <v>1733.26</v>
      </c>
      <c r="Y177" s="9">
        <v>12.083</v>
      </c>
      <c r="Z177" s="9">
        <v>174</v>
      </c>
      <c r="AA177" s="22">
        <v>43655.574791666666</v>
      </c>
    </row>
    <row r="178" spans="1:27" s="9" customFormat="1" ht="12.75">
      <c r="A178" s="9" t="s">
        <v>347</v>
      </c>
      <c r="B178" s="9" t="s">
        <v>173</v>
      </c>
      <c r="C178" s="9">
        <v>1.944</v>
      </c>
      <c r="D178" s="9">
        <v>14.997999999999999</v>
      </c>
      <c r="E178" s="9">
        <v>51.151000000000003</v>
      </c>
      <c r="F178" s="9">
        <v>0.318</v>
      </c>
      <c r="G178" s="9">
        <v>10.247</v>
      </c>
      <c r="H178" s="9">
        <v>0.13900000000000001</v>
      </c>
      <c r="I178" s="9">
        <v>7.601</v>
      </c>
      <c r="J178" s="9">
        <v>7.9880000000000004</v>
      </c>
      <c r="K178" s="9">
        <v>1.415</v>
      </c>
      <c r="L178" s="9">
        <v>4.1000000000000002E-2</v>
      </c>
      <c r="M178" s="9">
        <v>0.623</v>
      </c>
      <c r="Q178" s="9">
        <v>0</v>
      </c>
      <c r="R178" s="9">
        <v>0.19900000000000001</v>
      </c>
      <c r="S178" s="9">
        <v>96.664000000000001</v>
      </c>
      <c r="T178" s="9">
        <v>9030.2999999999993</v>
      </c>
      <c r="U178" s="9">
        <v>-820.1</v>
      </c>
      <c r="V178" s="9">
        <v>237</v>
      </c>
      <c r="W178" s="9" t="s">
        <v>173</v>
      </c>
      <c r="X178" s="9">
        <v>1743.28</v>
      </c>
      <c r="Y178" s="9">
        <v>12.067</v>
      </c>
      <c r="Z178" s="9">
        <v>175</v>
      </c>
      <c r="AA178" s="22">
        <v>43655.581469907411</v>
      </c>
    </row>
    <row r="179" spans="1:27" s="9" customFormat="1" ht="12.75">
      <c r="A179" s="9" t="s">
        <v>348</v>
      </c>
      <c r="B179" s="9" t="s">
        <v>173</v>
      </c>
      <c r="C179" s="9">
        <v>1.94</v>
      </c>
      <c r="D179" s="9">
        <v>15</v>
      </c>
      <c r="E179" s="9">
        <v>51.34</v>
      </c>
      <c r="F179" s="9">
        <v>0.29399999999999998</v>
      </c>
      <c r="G179" s="9">
        <v>10.225</v>
      </c>
      <c r="H179" s="9">
        <v>0.159</v>
      </c>
      <c r="I179" s="9">
        <v>7.6360000000000001</v>
      </c>
      <c r="J179" s="9">
        <v>8.0399999999999991</v>
      </c>
      <c r="K179" s="9">
        <v>1.413</v>
      </c>
      <c r="L179" s="9">
        <v>4.7E-2</v>
      </c>
      <c r="M179" s="9">
        <v>0.629</v>
      </c>
      <c r="Q179" s="9">
        <v>0</v>
      </c>
      <c r="R179" s="9">
        <v>0.17799999999999999</v>
      </c>
      <c r="S179" s="9">
        <v>96.900999999999996</v>
      </c>
      <c r="T179" s="9">
        <v>9020.6</v>
      </c>
      <c r="U179" s="9">
        <v>-817.8</v>
      </c>
      <c r="V179" s="9">
        <v>237</v>
      </c>
      <c r="W179" s="9" t="s">
        <v>173</v>
      </c>
      <c r="X179" s="9">
        <v>1753.3</v>
      </c>
      <c r="Y179" s="9">
        <v>12.097</v>
      </c>
      <c r="Z179" s="9">
        <v>176</v>
      </c>
      <c r="AA179" s="22">
        <v>43655.588171296295</v>
      </c>
    </row>
    <row r="180" spans="1:27" s="9" customFormat="1" ht="12.75">
      <c r="A180" s="9" t="s">
        <v>349</v>
      </c>
      <c r="B180" s="9" t="s">
        <v>173</v>
      </c>
      <c r="C180" s="9">
        <v>2.0409999999999999</v>
      </c>
      <c r="D180" s="9">
        <v>14.94</v>
      </c>
      <c r="E180" s="9">
        <v>51.116999999999997</v>
      </c>
      <c r="F180" s="9">
        <v>0.30399999999999999</v>
      </c>
      <c r="G180" s="9">
        <v>10.256</v>
      </c>
      <c r="H180" s="9">
        <v>0.16300000000000001</v>
      </c>
      <c r="I180" s="9">
        <v>7.6609999999999996</v>
      </c>
      <c r="J180" s="9">
        <v>7.952</v>
      </c>
      <c r="K180" s="9">
        <v>1.4039999999999999</v>
      </c>
      <c r="L180" s="9">
        <v>4.3999999999999997E-2</v>
      </c>
      <c r="M180" s="9">
        <v>0.63800000000000001</v>
      </c>
      <c r="Q180" s="9">
        <v>0</v>
      </c>
      <c r="R180" s="9">
        <v>0.18099999999999999</v>
      </c>
      <c r="S180" s="9">
        <v>96.7</v>
      </c>
      <c r="T180" s="9">
        <v>9010.7999999999993</v>
      </c>
      <c r="U180" s="9">
        <v>-815.6</v>
      </c>
      <c r="V180" s="9">
        <v>237</v>
      </c>
      <c r="W180" s="9" t="s">
        <v>173</v>
      </c>
      <c r="X180" s="9">
        <v>1763.32</v>
      </c>
      <c r="Y180" s="9">
        <v>12.082000000000001</v>
      </c>
      <c r="Z180" s="9">
        <v>177</v>
      </c>
      <c r="AA180" s="22">
        <v>43655.594918981478</v>
      </c>
    </row>
    <row r="181" spans="1:27" s="9" customFormat="1" ht="12.75">
      <c r="A181" s="9" t="s">
        <v>350</v>
      </c>
      <c r="B181" s="9" t="s">
        <v>173</v>
      </c>
      <c r="C181" s="9">
        <v>2.0739999999999998</v>
      </c>
      <c r="D181" s="9">
        <v>14.943</v>
      </c>
      <c r="E181" s="9">
        <v>51.314</v>
      </c>
      <c r="F181" s="9">
        <v>0.317</v>
      </c>
      <c r="G181" s="9">
        <v>10.263</v>
      </c>
      <c r="H181" s="9">
        <v>0.15</v>
      </c>
      <c r="I181" s="9">
        <v>7.5389999999999997</v>
      </c>
      <c r="J181" s="9">
        <v>8.0220000000000002</v>
      </c>
      <c r="K181" s="9">
        <v>1.423</v>
      </c>
      <c r="L181" s="9">
        <v>4.3999999999999997E-2</v>
      </c>
      <c r="M181" s="9">
        <v>0.64300000000000002</v>
      </c>
      <c r="Q181" s="9">
        <v>0</v>
      </c>
      <c r="R181" s="9">
        <v>0.17399999999999999</v>
      </c>
      <c r="S181" s="9">
        <v>96.906999999999996</v>
      </c>
      <c r="T181" s="9">
        <v>9001.1</v>
      </c>
      <c r="U181" s="9">
        <v>-813.3</v>
      </c>
      <c r="V181" s="9">
        <v>237</v>
      </c>
      <c r="W181" s="9" t="s">
        <v>173</v>
      </c>
      <c r="X181" s="9">
        <v>1773.34</v>
      </c>
      <c r="Y181" s="9">
        <v>12.092000000000001</v>
      </c>
      <c r="Z181" s="9">
        <v>178</v>
      </c>
      <c r="AA181" s="22">
        <v>43655.601678240739</v>
      </c>
    </row>
    <row r="182" spans="1:27" s="9" customFormat="1" ht="12.75">
      <c r="A182" s="9" t="s">
        <v>351</v>
      </c>
      <c r="B182" s="9" t="s">
        <v>173</v>
      </c>
      <c r="C182" s="9">
        <v>2.0550000000000002</v>
      </c>
      <c r="D182" s="9">
        <v>15.023999999999999</v>
      </c>
      <c r="E182" s="9">
        <v>51.283999999999999</v>
      </c>
      <c r="F182" s="9">
        <v>0.30199999999999999</v>
      </c>
      <c r="G182" s="9">
        <v>10.244</v>
      </c>
      <c r="H182" s="9">
        <v>0.157</v>
      </c>
      <c r="I182" s="9">
        <v>7.5750000000000002</v>
      </c>
      <c r="J182" s="9">
        <v>8.0120000000000005</v>
      </c>
      <c r="K182" s="9">
        <v>1.42</v>
      </c>
      <c r="L182" s="9">
        <v>4.5999999999999999E-2</v>
      </c>
      <c r="M182" s="9">
        <v>0.64500000000000002</v>
      </c>
      <c r="Q182" s="9">
        <v>0</v>
      </c>
      <c r="R182" s="9">
        <v>0.16900000000000001</v>
      </c>
      <c r="S182" s="9">
        <v>96.933000000000007</v>
      </c>
      <c r="T182" s="9">
        <v>8991.2999999999993</v>
      </c>
      <c r="U182" s="9">
        <v>-811.1</v>
      </c>
      <c r="V182" s="9">
        <v>237</v>
      </c>
      <c r="W182" s="9" t="s">
        <v>173</v>
      </c>
      <c r="X182" s="9">
        <v>1783.36</v>
      </c>
      <c r="Y182" s="9">
        <v>12.098000000000001</v>
      </c>
      <c r="Z182" s="9">
        <v>179</v>
      </c>
      <c r="AA182" s="22">
        <v>43655.608402777776</v>
      </c>
    </row>
    <row r="183" spans="1:27" s="9" customFormat="1" ht="12.75">
      <c r="A183" s="9" t="s">
        <v>352</v>
      </c>
      <c r="B183" s="9" t="s">
        <v>173</v>
      </c>
      <c r="C183" s="9">
        <v>1.9710000000000001</v>
      </c>
      <c r="D183" s="9">
        <v>14.997</v>
      </c>
      <c r="E183" s="9">
        <v>51.344999999999999</v>
      </c>
      <c r="F183" s="9">
        <v>0.28399999999999997</v>
      </c>
      <c r="G183" s="9">
        <v>10.269</v>
      </c>
      <c r="H183" s="9">
        <v>0.151</v>
      </c>
      <c r="I183" s="9">
        <v>7.5090000000000003</v>
      </c>
      <c r="J183" s="9">
        <v>7.9809999999999999</v>
      </c>
      <c r="K183" s="9">
        <v>1.417</v>
      </c>
      <c r="L183" s="9">
        <v>4.8000000000000001E-2</v>
      </c>
      <c r="M183" s="9">
        <v>0.65100000000000002</v>
      </c>
      <c r="Q183" s="9">
        <v>0</v>
      </c>
      <c r="R183" s="9">
        <v>0.17299999999999999</v>
      </c>
      <c r="S183" s="9">
        <v>96.796999999999997</v>
      </c>
      <c r="T183" s="9">
        <v>8981.5</v>
      </c>
      <c r="U183" s="9">
        <v>-808.8</v>
      </c>
      <c r="V183" s="9">
        <v>237</v>
      </c>
      <c r="W183" s="9" t="s">
        <v>173</v>
      </c>
      <c r="X183" s="9">
        <v>1793.38</v>
      </c>
      <c r="Y183" s="9">
        <v>12.077999999999999</v>
      </c>
      <c r="Z183" s="9">
        <v>180</v>
      </c>
      <c r="AA183" s="22">
        <v>43655.615127314813</v>
      </c>
    </row>
    <row r="184" spans="1:27" s="9" customFormat="1" ht="12.75">
      <c r="A184" s="9" t="s">
        <v>353</v>
      </c>
      <c r="B184" s="9" t="s">
        <v>173</v>
      </c>
      <c r="C184" s="9">
        <v>1.958</v>
      </c>
      <c r="D184" s="9">
        <v>15.034000000000001</v>
      </c>
      <c r="E184" s="9">
        <v>51.360999999999997</v>
      </c>
      <c r="F184" s="9">
        <v>0.30599999999999999</v>
      </c>
      <c r="G184" s="9">
        <v>10.263</v>
      </c>
      <c r="H184" s="9">
        <v>0.16400000000000001</v>
      </c>
      <c r="I184" s="9">
        <v>7.601</v>
      </c>
      <c r="J184" s="9">
        <v>7.9279999999999999</v>
      </c>
      <c r="K184" s="9">
        <v>1.4219999999999999</v>
      </c>
      <c r="L184" s="9">
        <v>5.0999999999999997E-2</v>
      </c>
      <c r="M184" s="9">
        <v>0.64800000000000002</v>
      </c>
      <c r="Q184" s="9">
        <v>2.1999999999999999E-2</v>
      </c>
      <c r="R184" s="9">
        <v>0.17799999999999999</v>
      </c>
      <c r="S184" s="9">
        <v>96.938000000000002</v>
      </c>
      <c r="T184" s="9">
        <v>8971.7999999999993</v>
      </c>
      <c r="U184" s="9">
        <v>-806.6</v>
      </c>
      <c r="V184" s="9">
        <v>237</v>
      </c>
      <c r="W184" s="9" t="s">
        <v>173</v>
      </c>
      <c r="X184" s="9">
        <v>1803.4</v>
      </c>
      <c r="Y184" s="9">
        <v>12.117000000000001</v>
      </c>
      <c r="Z184" s="9">
        <v>181</v>
      </c>
      <c r="AA184" s="22">
        <v>43655.621851851851</v>
      </c>
    </row>
    <row r="185" spans="1:27" s="9" customFormat="1" ht="12.75">
      <c r="A185" s="9" t="s">
        <v>354</v>
      </c>
      <c r="B185" s="9" t="s">
        <v>173</v>
      </c>
      <c r="C185" s="9">
        <v>2.0299999999999998</v>
      </c>
      <c r="D185" s="9">
        <v>15.016</v>
      </c>
      <c r="E185" s="9">
        <v>51.350999999999999</v>
      </c>
      <c r="F185" s="9">
        <v>0.29099999999999998</v>
      </c>
      <c r="G185" s="9">
        <v>10.191000000000001</v>
      </c>
      <c r="H185" s="9">
        <v>0.17100000000000001</v>
      </c>
      <c r="I185" s="9">
        <v>7.6260000000000003</v>
      </c>
      <c r="J185" s="9">
        <v>7.9969999999999999</v>
      </c>
      <c r="K185" s="9">
        <v>1.4279999999999999</v>
      </c>
      <c r="L185" s="9">
        <v>4.1000000000000002E-2</v>
      </c>
      <c r="M185" s="9">
        <v>0.65100000000000002</v>
      </c>
      <c r="Q185" s="9">
        <v>0</v>
      </c>
      <c r="R185" s="9">
        <v>0.158</v>
      </c>
      <c r="S185" s="9">
        <v>96.953000000000003</v>
      </c>
      <c r="T185" s="9">
        <v>8962</v>
      </c>
      <c r="U185" s="9">
        <v>-804.3</v>
      </c>
      <c r="V185" s="9">
        <v>237</v>
      </c>
      <c r="W185" s="9" t="s">
        <v>173</v>
      </c>
      <c r="X185" s="9">
        <v>1813.42</v>
      </c>
      <c r="Y185" s="9">
        <v>12.105</v>
      </c>
      <c r="Z185" s="9">
        <v>182</v>
      </c>
      <c r="AA185" s="22">
        <v>43655.628587962965</v>
      </c>
    </row>
    <row r="186" spans="1:27" s="9" customFormat="1" ht="12.75">
      <c r="A186" s="9" t="s">
        <v>355</v>
      </c>
      <c r="B186" s="9" t="s">
        <v>173</v>
      </c>
      <c r="C186" s="9">
        <v>2.044</v>
      </c>
      <c r="D186" s="9">
        <v>14.941000000000001</v>
      </c>
      <c r="E186" s="9">
        <v>51.326999999999998</v>
      </c>
      <c r="F186" s="9">
        <v>0.28899999999999998</v>
      </c>
      <c r="G186" s="9">
        <v>10.243</v>
      </c>
      <c r="H186" s="9">
        <v>0.14699999999999999</v>
      </c>
      <c r="I186" s="9">
        <v>7.56</v>
      </c>
      <c r="J186" s="9">
        <v>8.0579999999999998</v>
      </c>
      <c r="K186" s="9">
        <v>1.399</v>
      </c>
      <c r="L186" s="9">
        <v>4.7E-2</v>
      </c>
      <c r="M186" s="9">
        <v>0.64400000000000002</v>
      </c>
      <c r="Q186" s="9">
        <v>0</v>
      </c>
      <c r="R186" s="9">
        <v>0.16900000000000001</v>
      </c>
      <c r="S186" s="9">
        <v>96.869</v>
      </c>
      <c r="T186" s="9">
        <v>8952.2000000000007</v>
      </c>
      <c r="U186" s="9">
        <v>-802</v>
      </c>
      <c r="V186" s="9">
        <v>237</v>
      </c>
      <c r="W186" s="9" t="s">
        <v>173</v>
      </c>
      <c r="X186" s="9">
        <v>1823.43</v>
      </c>
      <c r="Y186" s="9">
        <v>12.087</v>
      </c>
      <c r="Z186" s="9">
        <v>183</v>
      </c>
      <c r="AA186" s="22">
        <v>43655.635335648149</v>
      </c>
    </row>
    <row r="187" spans="1:27" s="9" customFormat="1" ht="12.75">
      <c r="A187" s="9" t="s">
        <v>356</v>
      </c>
      <c r="B187" s="9" t="s">
        <v>173</v>
      </c>
      <c r="C187" s="9">
        <v>1.9570000000000001</v>
      </c>
      <c r="D187" s="9">
        <v>15.089</v>
      </c>
      <c r="E187" s="9">
        <v>51.341000000000001</v>
      </c>
      <c r="F187" s="9">
        <v>0.318</v>
      </c>
      <c r="G187" s="9">
        <v>10.228999999999999</v>
      </c>
      <c r="H187" s="9">
        <v>0.17</v>
      </c>
      <c r="I187" s="9">
        <v>7.5750000000000002</v>
      </c>
      <c r="J187" s="9">
        <v>7.9790000000000001</v>
      </c>
      <c r="K187" s="9">
        <v>1.403</v>
      </c>
      <c r="L187" s="9">
        <v>4.7E-2</v>
      </c>
      <c r="M187" s="9">
        <v>0.64700000000000002</v>
      </c>
      <c r="Q187" s="9">
        <v>7.0000000000000001E-3</v>
      </c>
      <c r="R187" s="9">
        <v>0.19</v>
      </c>
      <c r="S187" s="9">
        <v>96.951999999999998</v>
      </c>
      <c r="T187" s="9">
        <v>8942.5</v>
      </c>
      <c r="U187" s="9">
        <v>-799.8</v>
      </c>
      <c r="V187" s="9">
        <v>237</v>
      </c>
      <c r="W187" s="9" t="s">
        <v>173</v>
      </c>
      <c r="X187" s="9">
        <v>1833.45</v>
      </c>
      <c r="Y187" s="9">
        <v>12.106</v>
      </c>
      <c r="Z187" s="9">
        <v>184</v>
      </c>
      <c r="AA187" s="22">
        <v>43655.642083333332</v>
      </c>
    </row>
    <row r="188" spans="1:27" s="9" customFormat="1" ht="12.75">
      <c r="A188" s="9" t="s">
        <v>357</v>
      </c>
      <c r="B188" s="9" t="s">
        <v>173</v>
      </c>
      <c r="C188" s="9">
        <v>1.964</v>
      </c>
      <c r="D188" s="9">
        <v>14.981999999999999</v>
      </c>
      <c r="E188" s="9">
        <v>51.223999999999997</v>
      </c>
      <c r="F188" s="9">
        <v>0.29299999999999998</v>
      </c>
      <c r="G188" s="9">
        <v>10.228999999999999</v>
      </c>
      <c r="H188" s="9">
        <v>0.16300000000000001</v>
      </c>
      <c r="I188" s="9">
        <v>7.6120000000000001</v>
      </c>
      <c r="J188" s="9">
        <v>7.9809999999999999</v>
      </c>
      <c r="K188" s="9">
        <v>1.429</v>
      </c>
      <c r="L188" s="9">
        <v>0.04</v>
      </c>
      <c r="M188" s="9">
        <v>0.64500000000000002</v>
      </c>
      <c r="Q188" s="9">
        <v>0</v>
      </c>
      <c r="R188" s="9">
        <v>0.19</v>
      </c>
      <c r="S188" s="9">
        <v>96.751999999999995</v>
      </c>
      <c r="T188" s="9">
        <v>8932.7000000000007</v>
      </c>
      <c r="U188" s="9">
        <v>-797.5</v>
      </c>
      <c r="V188" s="9">
        <v>237</v>
      </c>
      <c r="W188" s="9" t="s">
        <v>173</v>
      </c>
      <c r="X188" s="9">
        <v>1843.47</v>
      </c>
      <c r="Y188" s="9">
        <v>12.083</v>
      </c>
      <c r="Z188" s="9">
        <v>185</v>
      </c>
      <c r="AA188" s="22">
        <v>43655.648819444446</v>
      </c>
    </row>
    <row r="189" spans="1:27" s="9" customFormat="1" ht="12.75">
      <c r="A189" s="9" t="s">
        <v>358</v>
      </c>
      <c r="B189" s="9" t="s">
        <v>173</v>
      </c>
      <c r="C189" s="9">
        <v>2.2010000000000001</v>
      </c>
      <c r="D189" s="9">
        <v>14.946999999999999</v>
      </c>
      <c r="E189" s="9">
        <v>51.073</v>
      </c>
      <c r="F189" s="9">
        <v>0.30199999999999999</v>
      </c>
      <c r="G189" s="9">
        <v>10.244</v>
      </c>
      <c r="H189" s="9">
        <v>0.16400000000000001</v>
      </c>
      <c r="I189" s="9">
        <v>7.5549999999999997</v>
      </c>
      <c r="J189" s="9">
        <v>7.9829999999999997</v>
      </c>
      <c r="K189" s="9">
        <v>1.4239999999999999</v>
      </c>
      <c r="L189" s="9">
        <v>4.8000000000000001E-2</v>
      </c>
      <c r="M189" s="9">
        <v>0.65300000000000002</v>
      </c>
      <c r="Q189" s="9">
        <v>0</v>
      </c>
      <c r="R189" s="9">
        <v>0.19700000000000001</v>
      </c>
      <c r="S189" s="9">
        <v>96.792000000000002</v>
      </c>
      <c r="T189" s="9">
        <v>8923</v>
      </c>
      <c r="U189" s="9">
        <v>-795.3</v>
      </c>
      <c r="V189" s="9">
        <v>237</v>
      </c>
      <c r="W189" s="9" t="s">
        <v>173</v>
      </c>
      <c r="X189" s="9">
        <v>1853.49</v>
      </c>
      <c r="Y189" s="9">
        <v>12.083</v>
      </c>
      <c r="Z189" s="9">
        <v>186</v>
      </c>
      <c r="AA189" s="22">
        <v>43655.65556712963</v>
      </c>
    </row>
    <row r="190" spans="1:27" s="9" customFormat="1" ht="12.75">
      <c r="A190" s="9" t="s">
        <v>359</v>
      </c>
      <c r="B190" s="9" t="s">
        <v>173</v>
      </c>
      <c r="C190" s="9">
        <v>2.0369999999999999</v>
      </c>
      <c r="D190" s="9">
        <v>14.958</v>
      </c>
      <c r="E190" s="9">
        <v>51.412999999999997</v>
      </c>
      <c r="F190" s="9">
        <v>0.29399999999999998</v>
      </c>
      <c r="G190" s="9">
        <v>10.207000000000001</v>
      </c>
      <c r="H190" s="9">
        <v>0.16300000000000001</v>
      </c>
      <c r="I190" s="9">
        <v>7.6269999999999998</v>
      </c>
      <c r="J190" s="9">
        <v>7.9790000000000001</v>
      </c>
      <c r="K190" s="9">
        <v>1.3959999999999999</v>
      </c>
      <c r="L190" s="9">
        <v>4.3999999999999997E-2</v>
      </c>
      <c r="M190" s="9">
        <v>0.629</v>
      </c>
      <c r="Q190" s="9">
        <v>8.0000000000000002E-3</v>
      </c>
      <c r="R190" s="9">
        <v>0.19400000000000001</v>
      </c>
      <c r="S190" s="9">
        <v>96.95</v>
      </c>
      <c r="T190" s="9">
        <v>8913.2000000000007</v>
      </c>
      <c r="U190" s="9">
        <v>-793</v>
      </c>
      <c r="V190" s="9">
        <v>237</v>
      </c>
      <c r="W190" s="9" t="s">
        <v>173</v>
      </c>
      <c r="X190" s="9">
        <v>1863.51</v>
      </c>
      <c r="Y190" s="9">
        <v>12.103999999999999</v>
      </c>
      <c r="Z190" s="9">
        <v>187</v>
      </c>
      <c r="AA190" s="22">
        <v>43655.662303240744</v>
      </c>
    </row>
    <row r="191" spans="1:27" s="9" customFormat="1" ht="12.75">
      <c r="A191" s="9" t="s">
        <v>360</v>
      </c>
      <c r="B191" s="9" t="s">
        <v>173</v>
      </c>
      <c r="C191" s="9">
        <v>2.14</v>
      </c>
      <c r="D191" s="9">
        <v>14.996</v>
      </c>
      <c r="E191" s="9">
        <v>51.106000000000002</v>
      </c>
      <c r="F191" s="9">
        <v>0.307</v>
      </c>
      <c r="G191" s="9">
        <v>10.29</v>
      </c>
      <c r="H191" s="9">
        <v>0.14000000000000001</v>
      </c>
      <c r="I191" s="9">
        <v>7.48</v>
      </c>
      <c r="J191" s="9">
        <v>7.9530000000000003</v>
      </c>
      <c r="K191" s="9">
        <v>1.4239999999999999</v>
      </c>
      <c r="L191" s="9">
        <v>3.2000000000000001E-2</v>
      </c>
      <c r="M191" s="9">
        <v>0.63800000000000001</v>
      </c>
      <c r="Q191" s="9">
        <v>0</v>
      </c>
      <c r="R191" s="9">
        <v>0.17899999999999999</v>
      </c>
      <c r="S191" s="9">
        <v>96.683000000000007</v>
      </c>
      <c r="T191" s="9">
        <v>8903.4</v>
      </c>
      <c r="U191" s="9">
        <v>-790.8</v>
      </c>
      <c r="V191" s="9">
        <v>237</v>
      </c>
      <c r="W191" s="9" t="s">
        <v>173</v>
      </c>
      <c r="X191" s="9">
        <v>1873.53</v>
      </c>
      <c r="Y191" s="9">
        <v>12.058999999999999</v>
      </c>
      <c r="Z191" s="9">
        <v>188</v>
      </c>
      <c r="AA191" s="22">
        <v>43655.669062499997</v>
      </c>
    </row>
    <row r="192" spans="1:27" s="9" customFormat="1" ht="12.75">
      <c r="A192" s="9" t="s">
        <v>361</v>
      </c>
      <c r="B192" s="9" t="s">
        <v>173</v>
      </c>
      <c r="C192" s="9">
        <v>2.028</v>
      </c>
      <c r="D192" s="9">
        <v>15.021000000000001</v>
      </c>
      <c r="E192" s="9">
        <v>51.421999999999997</v>
      </c>
      <c r="F192" s="9">
        <v>0.30399999999999999</v>
      </c>
      <c r="G192" s="9">
        <v>10.281000000000001</v>
      </c>
      <c r="H192" s="9">
        <v>0.17399999999999999</v>
      </c>
      <c r="I192" s="9">
        <v>7.5830000000000002</v>
      </c>
      <c r="J192" s="9">
        <v>8.0239999999999991</v>
      </c>
      <c r="K192" s="9">
        <v>1.4159999999999999</v>
      </c>
      <c r="L192" s="9">
        <v>4.2000000000000003E-2</v>
      </c>
      <c r="M192" s="9">
        <v>0.625</v>
      </c>
      <c r="Q192" s="9">
        <v>0</v>
      </c>
      <c r="R192" s="9">
        <v>0.158</v>
      </c>
      <c r="S192" s="9">
        <v>97.078000000000003</v>
      </c>
      <c r="T192" s="9">
        <v>8893.7000000000007</v>
      </c>
      <c r="U192" s="9">
        <v>-788.5</v>
      </c>
      <c r="V192" s="9">
        <v>237</v>
      </c>
      <c r="W192" s="9" t="s">
        <v>173</v>
      </c>
      <c r="X192" s="9">
        <v>1883.55</v>
      </c>
      <c r="Y192" s="9">
        <v>12.114000000000001</v>
      </c>
      <c r="Z192" s="9">
        <v>189</v>
      </c>
      <c r="AA192" s="22">
        <v>43655.675787037035</v>
      </c>
    </row>
    <row r="193" spans="1:27" s="9" customFormat="1" ht="12.75">
      <c r="A193" s="9" t="s">
        <v>362</v>
      </c>
      <c r="B193" s="9" t="s">
        <v>173</v>
      </c>
      <c r="C193" s="9">
        <v>2.0070000000000001</v>
      </c>
      <c r="D193" s="9">
        <v>15.118</v>
      </c>
      <c r="E193" s="9">
        <v>51.546999999999997</v>
      </c>
      <c r="F193" s="9">
        <v>0.313</v>
      </c>
      <c r="G193" s="9">
        <v>10.269</v>
      </c>
      <c r="H193" s="9">
        <v>0.13300000000000001</v>
      </c>
      <c r="I193" s="9">
        <v>7.7</v>
      </c>
      <c r="J193" s="9">
        <v>8.0470000000000006</v>
      </c>
      <c r="K193" s="9">
        <v>1.4239999999999999</v>
      </c>
      <c r="L193" s="9">
        <v>4.2000000000000003E-2</v>
      </c>
      <c r="M193" s="9">
        <v>0.63</v>
      </c>
      <c r="Q193" s="9">
        <v>5.0000000000000001E-3</v>
      </c>
      <c r="R193" s="9">
        <v>0.17100000000000001</v>
      </c>
      <c r="S193" s="9">
        <v>97.406000000000006</v>
      </c>
      <c r="T193" s="9">
        <v>8883.9</v>
      </c>
      <c r="U193" s="9">
        <v>-786.3</v>
      </c>
      <c r="V193" s="9">
        <v>237</v>
      </c>
      <c r="W193" s="9" t="s">
        <v>173</v>
      </c>
      <c r="X193" s="9">
        <v>1893.57</v>
      </c>
      <c r="Y193" s="9">
        <v>12.162000000000001</v>
      </c>
      <c r="Z193" s="9">
        <v>190</v>
      </c>
      <c r="AA193" s="22">
        <v>43655.682523148149</v>
      </c>
    </row>
    <row r="194" spans="1:27" s="9" customFormat="1" ht="12.75">
      <c r="A194" s="9" t="s">
        <v>363</v>
      </c>
      <c r="B194" s="9" t="s">
        <v>173</v>
      </c>
      <c r="C194" s="9">
        <v>2.0070000000000001</v>
      </c>
      <c r="D194" s="9">
        <v>15.018000000000001</v>
      </c>
      <c r="E194" s="9">
        <v>51.543999999999997</v>
      </c>
      <c r="F194" s="9">
        <v>0.314</v>
      </c>
      <c r="G194" s="9">
        <v>10.205</v>
      </c>
      <c r="H194" s="9">
        <v>0.14199999999999999</v>
      </c>
      <c r="I194" s="9">
        <v>7.5670000000000002</v>
      </c>
      <c r="J194" s="9">
        <v>8.02</v>
      </c>
      <c r="K194" s="9">
        <v>1.411</v>
      </c>
      <c r="L194" s="9">
        <v>4.4999999999999998E-2</v>
      </c>
      <c r="M194" s="9">
        <v>0.623</v>
      </c>
      <c r="Q194" s="9">
        <v>6.0000000000000001E-3</v>
      </c>
      <c r="R194" s="9">
        <v>0.16600000000000001</v>
      </c>
      <c r="S194" s="9">
        <v>97.069000000000003</v>
      </c>
      <c r="T194" s="9">
        <v>8874.1</v>
      </c>
      <c r="U194" s="9">
        <v>-784</v>
      </c>
      <c r="V194" s="9">
        <v>237</v>
      </c>
      <c r="W194" s="9" t="s">
        <v>173</v>
      </c>
      <c r="X194" s="9">
        <v>1903.58</v>
      </c>
      <c r="Y194" s="9">
        <v>12.106999999999999</v>
      </c>
      <c r="Z194" s="9">
        <v>191</v>
      </c>
      <c r="AA194" s="22">
        <v>43655.689247685186</v>
      </c>
    </row>
    <row r="195" spans="1:27" s="9" customFormat="1" ht="12.75">
      <c r="A195" s="9" t="s">
        <v>364</v>
      </c>
      <c r="B195" s="9" t="s">
        <v>173</v>
      </c>
      <c r="C195" s="9">
        <v>2.1419999999999999</v>
      </c>
      <c r="D195" s="9">
        <v>15.007999999999999</v>
      </c>
      <c r="E195" s="9">
        <v>51.429000000000002</v>
      </c>
      <c r="F195" s="9">
        <v>0.29799999999999999</v>
      </c>
      <c r="G195" s="9">
        <v>10.243</v>
      </c>
      <c r="H195" s="9">
        <v>0.16200000000000001</v>
      </c>
      <c r="I195" s="9">
        <v>7.5419999999999998</v>
      </c>
      <c r="J195" s="9">
        <v>8.0120000000000005</v>
      </c>
      <c r="K195" s="9">
        <v>1.399</v>
      </c>
      <c r="L195" s="9">
        <v>4.2999999999999997E-2</v>
      </c>
      <c r="M195" s="9">
        <v>0.61699999999999999</v>
      </c>
      <c r="Q195" s="9">
        <v>0</v>
      </c>
      <c r="R195" s="9">
        <v>0.16700000000000001</v>
      </c>
      <c r="S195" s="9">
        <v>97.063000000000002</v>
      </c>
      <c r="T195" s="9">
        <v>8864.4</v>
      </c>
      <c r="U195" s="9">
        <v>-781.8</v>
      </c>
      <c r="V195" s="9">
        <v>237</v>
      </c>
      <c r="W195" s="9" t="s">
        <v>173</v>
      </c>
      <c r="X195" s="9">
        <v>1913.6</v>
      </c>
      <c r="Y195" s="9">
        <v>12.101000000000001</v>
      </c>
      <c r="Z195" s="9">
        <v>192</v>
      </c>
      <c r="AA195" s="22">
        <v>43655.69599537037</v>
      </c>
    </row>
    <row r="196" spans="1:27" s="9" customFormat="1" ht="12.75">
      <c r="A196" s="9" t="s">
        <v>365</v>
      </c>
      <c r="B196" s="9" t="s">
        <v>173</v>
      </c>
      <c r="C196" s="9">
        <v>1.857</v>
      </c>
      <c r="D196" s="9">
        <v>15.134</v>
      </c>
      <c r="E196" s="9">
        <v>51.680999999999997</v>
      </c>
      <c r="F196" s="9">
        <v>0.32400000000000001</v>
      </c>
      <c r="G196" s="9">
        <v>10.193</v>
      </c>
      <c r="H196" s="9">
        <v>0.13</v>
      </c>
      <c r="I196" s="9">
        <v>7.6340000000000003</v>
      </c>
      <c r="J196" s="9">
        <v>8.0570000000000004</v>
      </c>
      <c r="K196" s="9">
        <v>1.425</v>
      </c>
      <c r="L196" s="9">
        <v>4.2999999999999997E-2</v>
      </c>
      <c r="M196" s="9">
        <v>0.60699999999999998</v>
      </c>
      <c r="Q196" s="9">
        <v>0</v>
      </c>
      <c r="R196" s="9">
        <v>0.188</v>
      </c>
      <c r="S196" s="9">
        <v>97.274000000000001</v>
      </c>
      <c r="T196" s="9">
        <v>8854.6</v>
      </c>
      <c r="U196" s="9">
        <v>-779.5</v>
      </c>
      <c r="V196" s="9">
        <v>237</v>
      </c>
      <c r="W196" s="9" t="s">
        <v>173</v>
      </c>
      <c r="X196" s="9">
        <v>1923.62</v>
      </c>
      <c r="Y196" s="9">
        <v>12.13</v>
      </c>
      <c r="Z196" s="9">
        <v>193</v>
      </c>
      <c r="AA196" s="22">
        <v>43655.702719907407</v>
      </c>
    </row>
    <row r="197" spans="1:27" s="9" customFormat="1" ht="12.75">
      <c r="A197" s="9" t="s">
        <v>366</v>
      </c>
      <c r="B197" s="9" t="s">
        <v>173</v>
      </c>
      <c r="C197" s="9">
        <v>2.0270000000000001</v>
      </c>
      <c r="D197" s="9">
        <v>15.097</v>
      </c>
      <c r="E197" s="9">
        <v>51.561</v>
      </c>
      <c r="F197" s="9">
        <v>0.30599999999999999</v>
      </c>
      <c r="G197" s="9">
        <v>10.205</v>
      </c>
      <c r="H197" s="9">
        <v>0.13400000000000001</v>
      </c>
      <c r="I197" s="9">
        <v>7.5620000000000003</v>
      </c>
      <c r="J197" s="9">
        <v>8.0210000000000008</v>
      </c>
      <c r="K197" s="9">
        <v>1.423</v>
      </c>
      <c r="L197" s="9">
        <v>4.2999999999999997E-2</v>
      </c>
      <c r="M197" s="9">
        <v>0.60299999999999998</v>
      </c>
      <c r="Q197" s="9">
        <v>1.4E-2</v>
      </c>
      <c r="R197" s="9">
        <v>0.17499999999999999</v>
      </c>
      <c r="S197" s="9">
        <v>97.171000000000006</v>
      </c>
      <c r="T197" s="9">
        <v>8844.9</v>
      </c>
      <c r="U197" s="9">
        <v>-777.3</v>
      </c>
      <c r="V197" s="9">
        <v>237</v>
      </c>
      <c r="W197" s="9" t="s">
        <v>173</v>
      </c>
      <c r="X197" s="9">
        <v>1933.64</v>
      </c>
      <c r="Y197" s="9">
        <v>12.117000000000001</v>
      </c>
      <c r="Z197" s="9">
        <v>194</v>
      </c>
      <c r="AA197" s="22">
        <v>43655.709421296298</v>
      </c>
    </row>
    <row r="198" spans="1:27" s="9" customFormat="1" ht="12.75">
      <c r="A198" s="9" t="s">
        <v>367</v>
      </c>
      <c r="B198" s="9" t="s">
        <v>173</v>
      </c>
      <c r="C198" s="9">
        <v>2.2559999999999998</v>
      </c>
      <c r="D198" s="9">
        <v>15.045999999999999</v>
      </c>
      <c r="E198" s="9">
        <v>51.228000000000002</v>
      </c>
      <c r="F198" s="9">
        <v>0.30499999999999999</v>
      </c>
      <c r="G198" s="9">
        <v>10.188000000000001</v>
      </c>
      <c r="H198" s="9">
        <v>0.17100000000000001</v>
      </c>
      <c r="I198" s="9">
        <v>7.5330000000000004</v>
      </c>
      <c r="J198" s="9">
        <v>7.9859999999999998</v>
      </c>
      <c r="K198" s="9">
        <v>1.395</v>
      </c>
      <c r="L198" s="9">
        <v>0.05</v>
      </c>
      <c r="M198" s="9">
        <v>0.59499999999999997</v>
      </c>
      <c r="Q198" s="9">
        <v>1.2999999999999999E-2</v>
      </c>
      <c r="R198" s="9">
        <v>0.18099999999999999</v>
      </c>
      <c r="S198" s="9">
        <v>96.945999999999998</v>
      </c>
      <c r="T198" s="9">
        <v>8835.1</v>
      </c>
      <c r="U198" s="9">
        <v>-775</v>
      </c>
      <c r="V198" s="9">
        <v>237</v>
      </c>
      <c r="W198" s="9" t="s">
        <v>173</v>
      </c>
      <c r="X198" s="9">
        <v>1943.66</v>
      </c>
      <c r="Y198" s="9">
        <v>12.087</v>
      </c>
      <c r="Z198" s="9">
        <v>195</v>
      </c>
      <c r="AA198" s="22">
        <v>43655.716157407405</v>
      </c>
    </row>
    <row r="199" spans="1:27" s="9" customFormat="1" ht="12.75">
      <c r="A199" s="9" t="s">
        <v>368</v>
      </c>
      <c r="B199" s="9" t="s">
        <v>173</v>
      </c>
      <c r="C199" s="9">
        <v>1.9750000000000001</v>
      </c>
      <c r="D199" s="9">
        <v>15.119</v>
      </c>
      <c r="E199" s="9">
        <v>51.545000000000002</v>
      </c>
      <c r="F199" s="9">
        <v>0.30399999999999999</v>
      </c>
      <c r="G199" s="9">
        <v>10.179</v>
      </c>
      <c r="H199" s="9">
        <v>0.16800000000000001</v>
      </c>
      <c r="I199" s="9">
        <v>7.5419999999999998</v>
      </c>
      <c r="J199" s="9">
        <v>7.9610000000000003</v>
      </c>
      <c r="K199" s="9">
        <v>1.41</v>
      </c>
      <c r="L199" s="9">
        <v>4.7E-2</v>
      </c>
      <c r="M199" s="9">
        <v>0.58299999999999996</v>
      </c>
      <c r="Q199" s="9">
        <v>0</v>
      </c>
      <c r="R199" s="9">
        <v>0.17799999999999999</v>
      </c>
      <c r="S199" s="9">
        <v>97.012</v>
      </c>
      <c r="T199" s="9">
        <v>8825.2999999999993</v>
      </c>
      <c r="U199" s="9">
        <v>-772.8</v>
      </c>
      <c r="V199" s="9">
        <v>237</v>
      </c>
      <c r="W199" s="9" t="s">
        <v>173</v>
      </c>
      <c r="X199" s="9">
        <v>1953.68</v>
      </c>
      <c r="Y199" s="9">
        <v>12.087999999999999</v>
      </c>
      <c r="Z199" s="9">
        <v>196</v>
      </c>
      <c r="AA199" s="22">
        <v>43655.722893518519</v>
      </c>
    </row>
    <row r="200" spans="1:27" s="9" customFormat="1" ht="12.75">
      <c r="A200" s="9" t="s">
        <v>369</v>
      </c>
      <c r="B200" s="9" t="s">
        <v>173</v>
      </c>
      <c r="C200" s="9">
        <v>1.982</v>
      </c>
      <c r="D200" s="9">
        <v>15.095000000000001</v>
      </c>
      <c r="E200" s="9">
        <v>51.447000000000003</v>
      </c>
      <c r="F200" s="9">
        <v>0.309</v>
      </c>
      <c r="G200" s="9">
        <v>10.247</v>
      </c>
      <c r="H200" s="9">
        <v>0.16800000000000001</v>
      </c>
      <c r="I200" s="9">
        <v>7.5640000000000001</v>
      </c>
      <c r="J200" s="9">
        <v>8.0169999999999995</v>
      </c>
      <c r="K200" s="9">
        <v>1.415</v>
      </c>
      <c r="L200" s="9">
        <v>4.5999999999999999E-2</v>
      </c>
      <c r="M200" s="9">
        <v>0.57399999999999995</v>
      </c>
      <c r="Q200" s="9">
        <v>0</v>
      </c>
      <c r="R200" s="9">
        <v>0.17100000000000001</v>
      </c>
      <c r="S200" s="9">
        <v>97.036000000000001</v>
      </c>
      <c r="T200" s="9">
        <v>8815.6</v>
      </c>
      <c r="U200" s="9">
        <v>-770.5</v>
      </c>
      <c r="V200" s="9">
        <v>237</v>
      </c>
      <c r="W200" s="9" t="s">
        <v>173</v>
      </c>
      <c r="X200" s="9">
        <v>1963.7</v>
      </c>
      <c r="Y200" s="9">
        <v>12.095000000000001</v>
      </c>
      <c r="Z200" s="9">
        <v>197</v>
      </c>
      <c r="AA200" s="22">
        <v>43655.729641203703</v>
      </c>
    </row>
    <row r="201" spans="1:27" s="9" customFormat="1" ht="12.75">
      <c r="A201" s="9" t="s">
        <v>370</v>
      </c>
      <c r="B201" s="9" t="s">
        <v>173</v>
      </c>
      <c r="C201" s="9">
        <v>2.0110000000000001</v>
      </c>
      <c r="D201" s="9">
        <v>15.055</v>
      </c>
      <c r="E201" s="9">
        <v>51.372999999999998</v>
      </c>
      <c r="F201" s="9">
        <v>0.307</v>
      </c>
      <c r="G201" s="9">
        <v>10.212999999999999</v>
      </c>
      <c r="H201" s="9">
        <v>0.159</v>
      </c>
      <c r="I201" s="9">
        <v>7.56</v>
      </c>
      <c r="J201" s="9">
        <v>8.0519999999999996</v>
      </c>
      <c r="K201" s="9">
        <v>1.421</v>
      </c>
      <c r="L201" s="9">
        <v>3.7999999999999999E-2</v>
      </c>
      <c r="M201" s="9">
        <v>0.57599999999999996</v>
      </c>
      <c r="Q201" s="9">
        <v>0.01</v>
      </c>
      <c r="R201" s="9">
        <v>0.193</v>
      </c>
      <c r="S201" s="9">
        <v>96.966999999999999</v>
      </c>
      <c r="T201" s="9">
        <v>8805.7999999999993</v>
      </c>
      <c r="U201" s="9">
        <v>-768.3</v>
      </c>
      <c r="V201" s="9">
        <v>237</v>
      </c>
      <c r="W201" s="9" t="s">
        <v>173</v>
      </c>
      <c r="X201" s="9">
        <v>1973.72</v>
      </c>
      <c r="Y201" s="9">
        <v>12.089</v>
      </c>
      <c r="Z201" s="9">
        <v>198</v>
      </c>
      <c r="AA201" s="22">
        <v>43655.73636574074</v>
      </c>
    </row>
    <row r="202" spans="1:27" s="9" customFormat="1" ht="12.75">
      <c r="A202" s="9" t="s">
        <v>371</v>
      </c>
      <c r="B202" s="9" t="s">
        <v>173</v>
      </c>
      <c r="C202" s="9">
        <v>1.9650000000000001</v>
      </c>
      <c r="D202" s="9">
        <v>15.035</v>
      </c>
      <c r="E202" s="9">
        <v>51.427999999999997</v>
      </c>
      <c r="F202" s="9">
        <v>0.32</v>
      </c>
      <c r="G202" s="9">
        <v>10.209</v>
      </c>
      <c r="H202" s="9">
        <v>0.18099999999999999</v>
      </c>
      <c r="I202" s="9">
        <v>7.58</v>
      </c>
      <c r="J202" s="9">
        <v>8.0449999999999999</v>
      </c>
      <c r="K202" s="9">
        <v>1.3979999999999999</v>
      </c>
      <c r="L202" s="9">
        <v>4.9000000000000002E-2</v>
      </c>
      <c r="M202" s="9">
        <v>0.55900000000000005</v>
      </c>
      <c r="Q202" s="9">
        <v>2.4E-2</v>
      </c>
      <c r="R202" s="9">
        <v>0.17699999999999999</v>
      </c>
      <c r="S202" s="9">
        <v>96.968999999999994</v>
      </c>
      <c r="T202" s="9">
        <v>8796.1</v>
      </c>
      <c r="U202" s="9">
        <v>-766</v>
      </c>
      <c r="V202" s="9">
        <v>237</v>
      </c>
      <c r="W202" s="9" t="s">
        <v>173</v>
      </c>
      <c r="X202" s="9">
        <v>1983.74</v>
      </c>
      <c r="Y202" s="9">
        <v>12.098000000000001</v>
      </c>
      <c r="Z202" s="9">
        <v>199</v>
      </c>
      <c r="AA202" s="22">
        <v>43655.743090277778</v>
      </c>
    </row>
    <row r="203" spans="1:27" s="9" customFormat="1" ht="12.75">
      <c r="A203" s="9" t="s">
        <v>372</v>
      </c>
      <c r="B203" s="9" t="s">
        <v>173</v>
      </c>
      <c r="C203" s="9">
        <v>1.9590000000000001</v>
      </c>
      <c r="D203" s="9">
        <v>15.119</v>
      </c>
      <c r="E203" s="9">
        <v>51.615000000000002</v>
      </c>
      <c r="F203" s="9">
        <v>0.31900000000000001</v>
      </c>
      <c r="G203" s="9">
        <v>10.292</v>
      </c>
      <c r="H203" s="9">
        <v>0.13900000000000001</v>
      </c>
      <c r="I203" s="9">
        <v>7.4539999999999997</v>
      </c>
      <c r="J203" s="9">
        <v>8.0340000000000007</v>
      </c>
      <c r="K203" s="9">
        <v>1.41</v>
      </c>
      <c r="L203" s="9">
        <v>5.1999999999999998E-2</v>
      </c>
      <c r="M203" s="9">
        <v>0.55400000000000005</v>
      </c>
      <c r="Q203" s="9">
        <v>8.9999999999999993E-3</v>
      </c>
      <c r="R203" s="9">
        <v>0.182</v>
      </c>
      <c r="S203" s="9">
        <v>97.138000000000005</v>
      </c>
      <c r="T203" s="9">
        <v>8786.2999999999993</v>
      </c>
      <c r="U203" s="9">
        <v>-763.8</v>
      </c>
      <c r="V203" s="9">
        <v>237</v>
      </c>
      <c r="W203" s="9" t="s">
        <v>173</v>
      </c>
      <c r="X203" s="9">
        <v>1993.75</v>
      </c>
      <c r="Y203" s="9">
        <v>12.095000000000001</v>
      </c>
      <c r="Z203" s="9">
        <v>200</v>
      </c>
      <c r="AA203" s="22">
        <v>43655.749826388892</v>
      </c>
    </row>
    <row r="204" spans="1:27" s="9" customFormat="1" ht="12.75">
      <c r="A204" s="9" t="s">
        <v>373</v>
      </c>
      <c r="B204" s="9" t="s">
        <v>173</v>
      </c>
      <c r="C204" s="9">
        <v>1.964</v>
      </c>
      <c r="D204" s="9">
        <v>15.063000000000001</v>
      </c>
      <c r="E204" s="9">
        <v>51.591000000000001</v>
      </c>
      <c r="F204" s="9">
        <v>0.29899999999999999</v>
      </c>
      <c r="G204" s="9">
        <v>10.212</v>
      </c>
      <c r="H204" s="9">
        <v>0.17</v>
      </c>
      <c r="I204" s="9">
        <v>7.4160000000000004</v>
      </c>
      <c r="J204" s="9">
        <v>8.0489999999999995</v>
      </c>
      <c r="K204" s="9">
        <v>1.425</v>
      </c>
      <c r="L204" s="9">
        <v>4.5999999999999999E-2</v>
      </c>
      <c r="M204" s="9">
        <v>0.54800000000000004</v>
      </c>
      <c r="Q204" s="9">
        <v>0</v>
      </c>
      <c r="R204" s="9">
        <v>0.19</v>
      </c>
      <c r="S204" s="9">
        <v>96.971999999999994</v>
      </c>
      <c r="T204" s="9">
        <v>8776.5</v>
      </c>
      <c r="U204" s="9">
        <v>-761.5</v>
      </c>
      <c r="V204" s="9">
        <v>237</v>
      </c>
      <c r="W204" s="9" t="s">
        <v>173</v>
      </c>
      <c r="X204" s="9">
        <v>2003.77</v>
      </c>
      <c r="Y204" s="9">
        <v>12.064</v>
      </c>
      <c r="Z204" s="9">
        <v>201</v>
      </c>
      <c r="AA204" s="22">
        <v>43655.756562499999</v>
      </c>
    </row>
    <row r="205" spans="1:27" s="9" customFormat="1" ht="12.75">
      <c r="A205" s="9" t="s">
        <v>374</v>
      </c>
      <c r="B205" s="9" t="s">
        <v>173</v>
      </c>
      <c r="C205" s="9">
        <v>2.0190000000000001</v>
      </c>
      <c r="D205" s="9">
        <v>15.125</v>
      </c>
      <c r="E205" s="9">
        <v>51.759</v>
      </c>
      <c r="F205" s="9">
        <v>0.29799999999999999</v>
      </c>
      <c r="G205" s="9">
        <v>10.367000000000001</v>
      </c>
      <c r="H205" s="9">
        <v>0.16400000000000001</v>
      </c>
      <c r="I205" s="9">
        <v>7.3819999999999997</v>
      </c>
      <c r="J205" s="9">
        <v>8.0749999999999993</v>
      </c>
      <c r="K205" s="9">
        <v>1.417</v>
      </c>
      <c r="L205" s="9">
        <v>3.9E-2</v>
      </c>
      <c r="M205" s="9">
        <v>0.54900000000000004</v>
      </c>
      <c r="Q205" s="9">
        <v>0</v>
      </c>
      <c r="R205" s="9">
        <v>0.19400000000000001</v>
      </c>
      <c r="S205" s="9">
        <v>97.387</v>
      </c>
      <c r="T205" s="9">
        <v>8766.7999999999993</v>
      </c>
      <c r="U205" s="9">
        <v>-759.3</v>
      </c>
      <c r="V205" s="9">
        <v>237</v>
      </c>
      <c r="W205" s="9" t="s">
        <v>173</v>
      </c>
      <c r="X205" s="9">
        <v>2013.79</v>
      </c>
      <c r="Y205" s="9">
        <v>12.112</v>
      </c>
      <c r="Z205" s="9">
        <v>202</v>
      </c>
      <c r="AA205" s="22">
        <v>43655.763321759259</v>
      </c>
    </row>
    <row r="206" spans="1:27" s="9" customFormat="1" ht="12.75">
      <c r="A206" s="9" t="s">
        <v>375</v>
      </c>
      <c r="B206" s="9" t="s">
        <v>173</v>
      </c>
      <c r="C206" s="9">
        <v>1.968</v>
      </c>
      <c r="D206" s="9">
        <v>15.068</v>
      </c>
      <c r="E206" s="9">
        <v>51.777000000000001</v>
      </c>
      <c r="F206" s="9">
        <v>0.317</v>
      </c>
      <c r="G206" s="9">
        <v>10.254</v>
      </c>
      <c r="H206" s="9">
        <v>0.154</v>
      </c>
      <c r="I206" s="9">
        <v>7.2220000000000004</v>
      </c>
      <c r="J206" s="9">
        <v>8.1059999999999999</v>
      </c>
      <c r="K206" s="9">
        <v>1.413</v>
      </c>
      <c r="L206" s="9">
        <v>4.7E-2</v>
      </c>
      <c r="M206" s="9">
        <v>0.54700000000000004</v>
      </c>
      <c r="Q206" s="9">
        <v>1.6E-2</v>
      </c>
      <c r="R206" s="9">
        <v>0.182</v>
      </c>
      <c r="S206" s="9">
        <v>97.07</v>
      </c>
      <c r="T206" s="9">
        <v>8757</v>
      </c>
      <c r="U206" s="9">
        <v>-757</v>
      </c>
      <c r="V206" s="9">
        <v>237</v>
      </c>
      <c r="W206" s="9" t="s">
        <v>173</v>
      </c>
      <c r="X206" s="9">
        <v>2023.81</v>
      </c>
      <c r="Y206" s="9">
        <v>12.061999999999999</v>
      </c>
      <c r="Z206" s="9">
        <v>203</v>
      </c>
      <c r="AA206" s="22">
        <v>43655.770046296297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V133"/>
  <sheetViews>
    <sheetView workbookViewId="0">
      <pane xSplit="1" ySplit="3" topLeftCell="B4" activePane="bottomRight" state="frozen"/>
      <selection pane="bottomRight" sqref="A1:A2"/>
      <selection pane="bottomLeft" activeCell="A2" sqref="A2"/>
      <selection pane="topRight" activeCell="B1" sqref="B1"/>
    </sheetView>
  </sheetViews>
  <sheetFormatPr defaultColWidth="11.42578125" defaultRowHeight="15"/>
  <cols>
    <col min="1" max="1" width="27.28515625" style="2" customWidth="1"/>
    <col min="2" max="2" width="14.28515625" style="2" customWidth="1"/>
    <col min="3" max="5" width="11.42578125" style="2"/>
    <col min="6" max="6" width="20.28515625" style="2" customWidth="1"/>
    <col min="7" max="8" width="19.7109375" style="2" customWidth="1"/>
    <col min="9" max="9" width="11.42578125" style="2"/>
    <col min="10" max="11" width="20.28515625" style="2" customWidth="1"/>
    <col min="12" max="13" width="14.85546875" style="2" customWidth="1"/>
    <col min="14" max="15" width="17" style="2" customWidth="1"/>
    <col min="16" max="16" width="15.7109375" style="2" customWidth="1"/>
    <col min="17" max="44" width="11.42578125" style="2"/>
    <col min="45" max="45" width="24.140625" style="2" customWidth="1"/>
    <col min="46" max="16384" width="11.42578125" style="2"/>
  </cols>
  <sheetData>
    <row r="1" spans="1:48">
      <c r="A1" s="9" t="s">
        <v>0</v>
      </c>
    </row>
    <row r="2" spans="1:48">
      <c r="A2" s="9" t="s">
        <v>1</v>
      </c>
    </row>
    <row r="3" spans="1:48" s="1" customFormat="1" ht="14.25">
      <c r="A3" s="1" t="s">
        <v>376</v>
      </c>
      <c r="B3" s="1" t="s">
        <v>377</v>
      </c>
      <c r="C3" s="1" t="s">
        <v>378</v>
      </c>
      <c r="D3" s="1" t="s">
        <v>379</v>
      </c>
      <c r="E3" s="1" t="s">
        <v>380</v>
      </c>
      <c r="F3" s="1" t="s">
        <v>381</v>
      </c>
      <c r="G3" s="1" t="s">
        <v>382</v>
      </c>
      <c r="H3" s="1" t="s">
        <v>383</v>
      </c>
      <c r="I3" s="1" t="s">
        <v>384</v>
      </c>
      <c r="J3" s="1" t="s">
        <v>385</v>
      </c>
      <c r="K3" s="1" t="s">
        <v>386</v>
      </c>
      <c r="L3" s="1" t="s">
        <v>387</v>
      </c>
      <c r="M3" s="1" t="s">
        <v>388</v>
      </c>
      <c r="N3" s="1" t="s">
        <v>389</v>
      </c>
      <c r="O3" s="1" t="s">
        <v>390</v>
      </c>
      <c r="P3" s="1" t="s">
        <v>391</v>
      </c>
      <c r="Q3" s="1" t="s">
        <v>392</v>
      </c>
      <c r="R3" s="1" t="s">
        <v>6</v>
      </c>
      <c r="S3" s="1" t="s">
        <v>12</v>
      </c>
      <c r="T3" s="1" t="s">
        <v>5</v>
      </c>
      <c r="U3" s="1" t="s">
        <v>393</v>
      </c>
      <c r="V3" s="1" t="s">
        <v>10</v>
      </c>
      <c r="W3" s="1" t="s">
        <v>9</v>
      </c>
      <c r="X3" s="1" t="s">
        <v>11</v>
      </c>
      <c r="Y3" s="1" t="s">
        <v>8</v>
      </c>
      <c r="Z3" s="1" t="s">
        <v>4</v>
      </c>
      <c r="AA3" s="1" t="s">
        <v>7</v>
      </c>
      <c r="AB3" s="1" t="s">
        <v>394</v>
      </c>
      <c r="AC3" s="1" t="s">
        <v>395</v>
      </c>
      <c r="AD3" s="1" t="s">
        <v>396</v>
      </c>
      <c r="AE3" s="1" t="s">
        <v>397</v>
      </c>
      <c r="AF3" s="1" t="s">
        <v>398</v>
      </c>
      <c r="AG3" s="1" t="s">
        <v>399</v>
      </c>
      <c r="AH3" s="1" t="s">
        <v>400</v>
      </c>
      <c r="AI3" s="1" t="s">
        <v>401</v>
      </c>
      <c r="AJ3" s="1" t="s">
        <v>402</v>
      </c>
      <c r="AK3" s="1" t="s">
        <v>403</v>
      </c>
      <c r="AL3" s="1" t="s">
        <v>404</v>
      </c>
      <c r="AM3" s="1" t="s">
        <v>405</v>
      </c>
      <c r="AN3" s="1" t="s">
        <v>406</v>
      </c>
      <c r="AO3" s="1" t="s">
        <v>407</v>
      </c>
      <c r="AP3" s="1" t="s">
        <v>408</v>
      </c>
      <c r="AQ3" s="1" t="s">
        <v>409</v>
      </c>
      <c r="AR3" s="1" t="s">
        <v>410</v>
      </c>
      <c r="AS3" s="1" t="s">
        <v>411</v>
      </c>
      <c r="AT3" s="1" t="s">
        <v>412</v>
      </c>
      <c r="AU3" s="1" t="s">
        <v>413</v>
      </c>
      <c r="AV3" s="1" t="s">
        <v>414</v>
      </c>
    </row>
    <row r="4" spans="1:48">
      <c r="A4" s="1" t="s">
        <v>415</v>
      </c>
      <c r="B4" s="1"/>
    </row>
    <row r="5" spans="1:48">
      <c r="A5" s="2" t="s">
        <v>416</v>
      </c>
      <c r="C5" s="2">
        <v>1400</v>
      </c>
      <c r="D5" s="3">
        <f>10000/(C5+273.15)</f>
        <v>5.9767504407853451</v>
      </c>
      <c r="E5" s="2">
        <v>0.8</v>
      </c>
      <c r="F5" s="2">
        <f>1.35*10^4</f>
        <v>13500</v>
      </c>
      <c r="G5" s="2">
        <v>0.1</v>
      </c>
      <c r="I5" s="2">
        <v>6000</v>
      </c>
      <c r="J5" s="2">
        <f>1.1 * 10^(-10)</f>
        <v>1.1000000000000001E-10</v>
      </c>
      <c r="L5" s="3">
        <f>LOG(J5)</f>
        <v>-9.9586073148417746</v>
      </c>
      <c r="M5" s="3"/>
      <c r="N5" s="3"/>
      <c r="O5" s="3"/>
      <c r="P5" s="3"/>
      <c r="R5" s="2">
        <v>76.099999999999994</v>
      </c>
      <c r="S5" s="2">
        <v>0.1</v>
      </c>
      <c r="T5" s="2">
        <v>13</v>
      </c>
      <c r="V5" s="2">
        <v>0.7</v>
      </c>
      <c r="X5" s="2">
        <v>0.1</v>
      </c>
      <c r="Y5" s="2">
        <v>0.5</v>
      </c>
      <c r="Z5" s="2">
        <v>3.7</v>
      </c>
      <c r="AA5" s="2">
        <v>4.8</v>
      </c>
      <c r="AB5" s="2">
        <v>0</v>
      </c>
      <c r="AC5" s="2">
        <v>0</v>
      </c>
      <c r="AD5" s="2">
        <v>1.31</v>
      </c>
      <c r="AF5" s="2">
        <v>12.83</v>
      </c>
      <c r="AG5" s="3">
        <f t="shared" ref="AG5:AG16" si="0">R5/(28.086+15.999*2)</f>
        <v>1.2665601491245588</v>
      </c>
      <c r="AH5" s="3">
        <f t="shared" ref="AH5:AH16" si="1">S5/(47.867+15.999*2)</f>
        <v>1.2521129405872412E-3</v>
      </c>
      <c r="AI5" s="3">
        <f t="shared" ref="AI5:AI16" si="2">T5/(26.982*2+15.999*3)*2</f>
        <v>0.25499946057806416</v>
      </c>
      <c r="AJ5" s="3">
        <f>V5/(55.845*2+15.999*3)*2*0.1</f>
        <v>8.7671507386324486E-4</v>
      </c>
      <c r="AK5" s="3">
        <f>V5/(55.845+15.999)*0.9</f>
        <v>8.7689994989143139E-3</v>
      </c>
      <c r="AL5" s="3">
        <f>W5/(54.938+15.999)</f>
        <v>0</v>
      </c>
      <c r="AM5" s="3">
        <f>X5/(24.305+15.999)</f>
        <v>2.4811433108376342E-3</v>
      </c>
      <c r="AN5" s="3">
        <f>Y5/(40.078+15.999)</f>
        <v>8.9163115002585721E-3</v>
      </c>
      <c r="AO5" s="3">
        <f>Z5/(22.99*2+15.999)*2</f>
        <v>0.11939527904612854</v>
      </c>
      <c r="AP5" s="3">
        <f>AA5/(39.098*2+15.999)*2</f>
        <v>0.10191623759222888</v>
      </c>
      <c r="AQ5" s="6">
        <f>(AO5+AP5+2*(AK5+AL5+AM5+AN5)-AJ5-AI5)/(AG5+AH5+AI5+AJ5)</f>
        <v>3.7857146275216001E-3</v>
      </c>
      <c r="AR5" s="6">
        <f>SUM(AG5:AP5)</f>
        <v>1.7651664086654415</v>
      </c>
      <c r="AS5" s="8">
        <f t="shared" ref="AS5:AS16" si="3">-13.95+5.15*(G5/(1.007975*2+15.999)*2+4.1*(Y5/(40.078+15.999))-(X5/(24.3055+15.999)))/AR5-((36475*((R5/(28.085+15.999*2))+(T5/(26.982*2+15.999*3))*2-(1.8*(V5/(55.845+15.999))))/AR5)-11088*E5*(((R5/(28.085+15.999))+(T5/(26.982*2+15.999*3))*2)/AR5-2/3))/(C5+273.15)</f>
        <v>-29.977248999267495</v>
      </c>
      <c r="AT5" s="4">
        <f t="shared" ref="AT5:AT16" si="4">EXP(AS5)</f>
        <v>9.5729585172646998E-14</v>
      </c>
      <c r="AU5" s="4">
        <f t="shared" ref="AU5:AU16" si="5">AT5*10000</f>
        <v>9.5729585172646999E-10</v>
      </c>
      <c r="AV5" s="3">
        <f>LOG(AU5)</f>
        <v>-9.0189538230216506</v>
      </c>
    </row>
    <row r="6" spans="1:48">
      <c r="A6" s="2" t="s">
        <v>417</v>
      </c>
      <c r="C6" s="2">
        <v>1200</v>
      </c>
      <c r="D6" s="3">
        <f t="shared" ref="D6:D16" si="6">10000/(C6+273.15)</f>
        <v>6.7881749991514777</v>
      </c>
      <c r="E6" s="2">
        <v>0.8</v>
      </c>
      <c r="F6" s="2">
        <f>6.9*10^4</f>
        <v>69000</v>
      </c>
      <c r="G6" s="2">
        <v>0.1</v>
      </c>
      <c r="I6" s="2">
        <v>2800</v>
      </c>
      <c r="J6" s="2">
        <f>3.1 * 10^(-12)</f>
        <v>3.1000000000000001E-12</v>
      </c>
      <c r="L6" s="3">
        <f t="shared" ref="L6:L16" si="7">LOG(J6)</f>
        <v>-11.508638306165727</v>
      </c>
      <c r="M6" s="3"/>
      <c r="N6" s="3"/>
      <c r="O6" s="3"/>
      <c r="P6" s="3"/>
      <c r="R6" s="2">
        <v>76.099999999999994</v>
      </c>
      <c r="S6" s="2">
        <v>0.1</v>
      </c>
      <c r="T6" s="2">
        <v>13</v>
      </c>
      <c r="V6" s="2">
        <v>0.7</v>
      </c>
      <c r="X6" s="2">
        <v>0.1</v>
      </c>
      <c r="Y6" s="2">
        <v>0.5</v>
      </c>
      <c r="Z6" s="2">
        <v>3.7</v>
      </c>
      <c r="AA6" s="2">
        <v>4.8</v>
      </c>
      <c r="AB6" s="2">
        <v>0</v>
      </c>
      <c r="AC6" s="2">
        <v>0</v>
      </c>
      <c r="AD6" s="2">
        <v>1.31</v>
      </c>
      <c r="AF6" s="2">
        <v>12.83</v>
      </c>
      <c r="AG6" s="3">
        <f t="shared" si="0"/>
        <v>1.2665601491245588</v>
      </c>
      <c r="AH6" s="3">
        <f t="shared" si="1"/>
        <v>1.2521129405872412E-3</v>
      </c>
      <c r="AI6" s="3">
        <f t="shared" si="2"/>
        <v>0.25499946057806416</v>
      </c>
      <c r="AJ6" s="3">
        <f t="shared" ref="AJ6:AJ69" si="8">V6/(55.845*2+15.999*3)*2*0.1</f>
        <v>8.7671507386324486E-4</v>
      </c>
      <c r="AK6" s="3">
        <f t="shared" ref="AK6:AK69" si="9">V6/(55.845+15.999)*0.9</f>
        <v>8.7689994989143139E-3</v>
      </c>
      <c r="AL6" s="3">
        <f t="shared" ref="AL6:AL69" si="10">W6/(54.938+15.999)</f>
        <v>0</v>
      </c>
      <c r="AM6" s="3">
        <f t="shared" ref="AM6:AM69" si="11">X6/(24.305+15.999)</f>
        <v>2.4811433108376342E-3</v>
      </c>
      <c r="AN6" s="3">
        <f t="shared" ref="AN6:AN69" si="12">Y6/(40.078+15.999)</f>
        <v>8.9163115002585721E-3</v>
      </c>
      <c r="AO6" s="3">
        <f t="shared" ref="AO6:AO69" si="13">Z6/(22.99*2+15.999)*2</f>
        <v>0.11939527904612854</v>
      </c>
      <c r="AP6" s="3">
        <f t="shared" ref="AP6:AP69" si="14">AA6/(39.098*2+15.999)*2</f>
        <v>0.10191623759222888</v>
      </c>
      <c r="AQ6" s="6">
        <f t="shared" ref="AQ6:AQ69" si="15">(AO6+AP6+2*(AK6+AL6+AM6+AN6)-AJ6-AI6)/(AG6+AH6+AI6+AJ6)</f>
        <v>3.7857146275216001E-3</v>
      </c>
      <c r="AR6" s="6">
        <f t="shared" ref="AR6:AR16" si="16">SUM(AG6:AP6)</f>
        <v>1.7651664086654415</v>
      </c>
      <c r="AS6" s="8">
        <f t="shared" si="3"/>
        <v>-32.171059277680527</v>
      </c>
      <c r="AT6" s="4">
        <f t="shared" si="4"/>
        <v>1.0672999245401105E-14</v>
      </c>
      <c r="AU6" s="4">
        <f t="shared" si="5"/>
        <v>1.0672999245401105E-10</v>
      </c>
      <c r="AV6" s="3">
        <f t="shared" ref="AV6:AV69" si="17">LOG(AU6)</f>
        <v>-9.9717135212790673</v>
      </c>
    </row>
    <row r="7" spans="1:48">
      <c r="A7" s="2" t="s">
        <v>418</v>
      </c>
      <c r="C7" s="2">
        <v>1300</v>
      </c>
      <c r="D7" s="3">
        <f t="shared" si="6"/>
        <v>6.3566729173950351</v>
      </c>
      <c r="E7" s="2">
        <v>0.8</v>
      </c>
      <c r="F7" s="2">
        <f>8.1*10^4</f>
        <v>81000</v>
      </c>
      <c r="G7" s="2">
        <v>0.1</v>
      </c>
      <c r="I7" s="2">
        <v>3700</v>
      </c>
      <c r="J7" s="2">
        <f>2.8 * 10^(-11)</f>
        <v>2.7999999999999997E-11</v>
      </c>
      <c r="L7" s="3">
        <f t="shared" si="7"/>
        <v>-10.552841968657781</v>
      </c>
      <c r="M7" s="3"/>
      <c r="N7" s="3"/>
      <c r="O7" s="3"/>
      <c r="P7" s="3"/>
      <c r="R7" s="2">
        <v>76.099999999999994</v>
      </c>
      <c r="S7" s="2">
        <v>0.1</v>
      </c>
      <c r="T7" s="2">
        <v>13</v>
      </c>
      <c r="V7" s="2">
        <v>0.7</v>
      </c>
      <c r="X7" s="2">
        <v>0.1</v>
      </c>
      <c r="Y7" s="2">
        <v>0.5</v>
      </c>
      <c r="Z7" s="2">
        <v>3.7</v>
      </c>
      <c r="AA7" s="2">
        <v>4.8</v>
      </c>
      <c r="AB7" s="2">
        <v>0</v>
      </c>
      <c r="AC7" s="2">
        <v>0</v>
      </c>
      <c r="AD7" s="2">
        <v>1.31</v>
      </c>
      <c r="AF7" s="2">
        <v>12.83</v>
      </c>
      <c r="AG7" s="3">
        <f t="shared" si="0"/>
        <v>1.2665601491245588</v>
      </c>
      <c r="AH7" s="3">
        <f t="shared" si="1"/>
        <v>1.2521129405872412E-3</v>
      </c>
      <c r="AI7" s="3">
        <f t="shared" si="2"/>
        <v>0.25499946057806416</v>
      </c>
      <c r="AJ7" s="3">
        <f t="shared" si="8"/>
        <v>8.7671507386324486E-4</v>
      </c>
      <c r="AK7" s="3">
        <f t="shared" si="9"/>
        <v>8.7689994989143139E-3</v>
      </c>
      <c r="AL7" s="3">
        <f t="shared" si="10"/>
        <v>0</v>
      </c>
      <c r="AM7" s="3">
        <f t="shared" si="11"/>
        <v>2.4811433108376342E-3</v>
      </c>
      <c r="AN7" s="3">
        <f t="shared" si="12"/>
        <v>8.9163115002585721E-3</v>
      </c>
      <c r="AO7" s="3">
        <f t="shared" si="13"/>
        <v>0.11939527904612854</v>
      </c>
      <c r="AP7" s="3">
        <f t="shared" si="14"/>
        <v>0.10191623759222888</v>
      </c>
      <c r="AQ7" s="6">
        <f t="shared" si="15"/>
        <v>3.7857146275216001E-3</v>
      </c>
      <c r="AR7" s="6">
        <f t="shared" si="16"/>
        <v>1.7651664086654415</v>
      </c>
      <c r="AS7" s="8">
        <f t="shared" si="3"/>
        <v>-31.004427466560557</v>
      </c>
      <c r="AT7" s="4">
        <f t="shared" si="4"/>
        <v>3.427269346956976E-14</v>
      </c>
      <c r="AU7" s="4">
        <f t="shared" si="5"/>
        <v>3.4272693469569758E-10</v>
      </c>
      <c r="AV7" s="3">
        <f t="shared" si="17"/>
        <v>-9.4650517632968683</v>
      </c>
    </row>
    <row r="8" spans="1:48">
      <c r="A8" s="2" t="s">
        <v>419</v>
      </c>
      <c r="C8" s="2">
        <v>1400</v>
      </c>
      <c r="D8" s="3">
        <f t="shared" si="6"/>
        <v>5.9767504407853451</v>
      </c>
      <c r="E8" s="2">
        <v>0.8</v>
      </c>
      <c r="F8" s="2">
        <f>9.96*10^4</f>
        <v>99600.000000000015</v>
      </c>
      <c r="G8" s="2">
        <v>0.1</v>
      </c>
      <c r="I8" s="2">
        <v>6080</v>
      </c>
      <c r="J8" s="2">
        <f>2.4 * 10^(-10)</f>
        <v>2.4E-10</v>
      </c>
      <c r="L8" s="3">
        <f t="shared" si="7"/>
        <v>-9.6197887582883936</v>
      </c>
      <c r="M8" s="3"/>
      <c r="N8" s="3"/>
      <c r="O8" s="3"/>
      <c r="P8" s="3"/>
      <c r="R8" s="2">
        <v>76.099999999999994</v>
      </c>
      <c r="S8" s="2">
        <v>0.1</v>
      </c>
      <c r="T8" s="2">
        <v>13</v>
      </c>
      <c r="V8" s="2">
        <v>0.7</v>
      </c>
      <c r="X8" s="2">
        <v>0.1</v>
      </c>
      <c r="Y8" s="2">
        <v>0.5</v>
      </c>
      <c r="Z8" s="2">
        <v>3.7</v>
      </c>
      <c r="AA8" s="2">
        <v>4.8</v>
      </c>
      <c r="AB8" s="2">
        <v>0</v>
      </c>
      <c r="AC8" s="2">
        <v>0</v>
      </c>
      <c r="AD8" s="2">
        <v>1.31</v>
      </c>
      <c r="AF8" s="2">
        <v>12.83</v>
      </c>
      <c r="AG8" s="3">
        <f t="shared" si="0"/>
        <v>1.2665601491245588</v>
      </c>
      <c r="AH8" s="3">
        <f t="shared" si="1"/>
        <v>1.2521129405872412E-3</v>
      </c>
      <c r="AI8" s="3">
        <f t="shared" si="2"/>
        <v>0.25499946057806416</v>
      </c>
      <c r="AJ8" s="3">
        <f t="shared" si="8"/>
        <v>8.7671507386324486E-4</v>
      </c>
      <c r="AK8" s="3">
        <f t="shared" si="9"/>
        <v>8.7689994989143139E-3</v>
      </c>
      <c r="AL8" s="3">
        <f t="shared" si="10"/>
        <v>0</v>
      </c>
      <c r="AM8" s="3">
        <f t="shared" si="11"/>
        <v>2.4811433108376342E-3</v>
      </c>
      <c r="AN8" s="3">
        <f t="shared" si="12"/>
        <v>8.9163115002585721E-3</v>
      </c>
      <c r="AO8" s="3">
        <f t="shared" si="13"/>
        <v>0.11939527904612854</v>
      </c>
      <c r="AP8" s="3">
        <f t="shared" si="14"/>
        <v>0.10191623759222888</v>
      </c>
      <c r="AQ8" s="6">
        <f t="shared" si="15"/>
        <v>3.7857146275216001E-3</v>
      </c>
      <c r="AR8" s="6">
        <f t="shared" si="16"/>
        <v>1.7651664086654415</v>
      </c>
      <c r="AS8" s="8">
        <f t="shared" si="3"/>
        <v>-29.977248999267495</v>
      </c>
      <c r="AT8" s="4">
        <f t="shared" si="4"/>
        <v>9.5729585172646998E-14</v>
      </c>
      <c r="AU8" s="4">
        <f t="shared" si="5"/>
        <v>9.5729585172646999E-10</v>
      </c>
      <c r="AV8" s="3">
        <f t="shared" si="17"/>
        <v>-9.0189538230216506</v>
      </c>
    </row>
    <row r="9" spans="1:48">
      <c r="A9" s="2" t="s">
        <v>420</v>
      </c>
      <c r="C9" s="2">
        <v>1500</v>
      </c>
      <c r="D9" s="3">
        <f t="shared" si="6"/>
        <v>5.6396807940670559</v>
      </c>
      <c r="E9" s="2">
        <v>0.8</v>
      </c>
      <c r="F9" s="2">
        <f>2.4*10^4</f>
        <v>24000</v>
      </c>
      <c r="G9" s="2">
        <v>0.1</v>
      </c>
      <c r="I9" s="2">
        <v>14800</v>
      </c>
      <c r="J9" s="2">
        <f>9.4 * 10^(-10)</f>
        <v>9.4000000000000006E-10</v>
      </c>
      <c r="L9" s="3">
        <f t="shared" si="7"/>
        <v>-9.0268721464003008</v>
      </c>
      <c r="M9" s="3"/>
      <c r="N9" s="3"/>
      <c r="O9" s="3"/>
      <c r="P9" s="3"/>
      <c r="R9" s="2">
        <v>76.099999999999994</v>
      </c>
      <c r="S9" s="2">
        <v>0.1</v>
      </c>
      <c r="T9" s="2">
        <v>13</v>
      </c>
      <c r="V9" s="2">
        <v>0.7</v>
      </c>
      <c r="X9" s="2">
        <v>0.1</v>
      </c>
      <c r="Y9" s="2">
        <v>0.5</v>
      </c>
      <c r="Z9" s="2">
        <v>3.7</v>
      </c>
      <c r="AA9" s="2">
        <v>4.8</v>
      </c>
      <c r="AB9" s="2">
        <v>0</v>
      </c>
      <c r="AC9" s="2">
        <v>0</v>
      </c>
      <c r="AD9" s="2">
        <v>1.31</v>
      </c>
      <c r="AF9" s="2">
        <v>12.83</v>
      </c>
      <c r="AG9" s="3">
        <f t="shared" si="0"/>
        <v>1.2665601491245588</v>
      </c>
      <c r="AH9" s="3">
        <f t="shared" si="1"/>
        <v>1.2521129405872412E-3</v>
      </c>
      <c r="AI9" s="3">
        <f t="shared" si="2"/>
        <v>0.25499946057806416</v>
      </c>
      <c r="AJ9" s="3">
        <f t="shared" si="8"/>
        <v>8.7671507386324486E-4</v>
      </c>
      <c r="AK9" s="3">
        <f t="shared" si="9"/>
        <v>8.7689994989143139E-3</v>
      </c>
      <c r="AL9" s="3">
        <f t="shared" si="10"/>
        <v>0</v>
      </c>
      <c r="AM9" s="3">
        <f t="shared" si="11"/>
        <v>2.4811433108376342E-3</v>
      </c>
      <c r="AN9" s="3">
        <f t="shared" si="12"/>
        <v>8.9163115002585721E-3</v>
      </c>
      <c r="AO9" s="3">
        <f t="shared" si="13"/>
        <v>0.11939527904612854</v>
      </c>
      <c r="AP9" s="3">
        <f t="shared" si="14"/>
        <v>0.10191623759222888</v>
      </c>
      <c r="AQ9" s="6">
        <f t="shared" si="15"/>
        <v>3.7857146275216001E-3</v>
      </c>
      <c r="AR9" s="6">
        <f t="shared" si="16"/>
        <v>1.7651664086654415</v>
      </c>
      <c r="AS9" s="8">
        <f t="shared" si="3"/>
        <v>-29.065929705455876</v>
      </c>
      <c r="AT9" s="4">
        <f t="shared" si="4"/>
        <v>2.381371312475236E-13</v>
      </c>
      <c r="AU9" s="4">
        <f t="shared" si="5"/>
        <v>2.3813713124752361E-9</v>
      </c>
      <c r="AV9" s="3">
        <f t="shared" si="17"/>
        <v>-8.623172882467296</v>
      </c>
    </row>
    <row r="10" spans="1:48">
      <c r="A10" s="2" t="s">
        <v>421</v>
      </c>
      <c r="C10" s="2">
        <v>1020</v>
      </c>
      <c r="D10" s="3">
        <f t="shared" si="6"/>
        <v>7.7330549433553717</v>
      </c>
      <c r="E10" s="2">
        <v>0.8</v>
      </c>
      <c r="F10" s="2">
        <f>16*10^4</f>
        <v>160000</v>
      </c>
      <c r="G10" s="2">
        <v>6</v>
      </c>
      <c r="I10" s="2">
        <v>1580</v>
      </c>
      <c r="J10" s="2">
        <f>3.3 * 10^(-10)</f>
        <v>3.3E-10</v>
      </c>
      <c r="L10" s="3">
        <f t="shared" si="7"/>
        <v>-9.481486060122112</v>
      </c>
      <c r="M10" s="3"/>
      <c r="N10" s="3"/>
      <c r="O10" s="3"/>
      <c r="P10" s="3"/>
      <c r="R10" s="2">
        <v>76.099999999999994</v>
      </c>
      <c r="S10" s="2">
        <v>0.1</v>
      </c>
      <c r="T10" s="2">
        <v>13</v>
      </c>
      <c r="V10" s="2">
        <v>0.7</v>
      </c>
      <c r="X10" s="2">
        <v>0.1</v>
      </c>
      <c r="Y10" s="2">
        <v>0.5</v>
      </c>
      <c r="Z10" s="2">
        <v>3.7</v>
      </c>
      <c r="AA10" s="2">
        <v>4.8</v>
      </c>
      <c r="AB10" s="2">
        <v>0</v>
      </c>
      <c r="AC10" s="2">
        <v>0</v>
      </c>
      <c r="AD10" s="2">
        <v>1.31</v>
      </c>
      <c r="AF10" s="2">
        <v>12.83</v>
      </c>
      <c r="AG10" s="3">
        <f t="shared" si="0"/>
        <v>1.2665601491245588</v>
      </c>
      <c r="AH10" s="3">
        <f t="shared" si="1"/>
        <v>1.2521129405872412E-3</v>
      </c>
      <c r="AI10" s="3">
        <f t="shared" si="2"/>
        <v>0.25499946057806416</v>
      </c>
      <c r="AJ10" s="3">
        <f t="shared" si="8"/>
        <v>8.7671507386324486E-4</v>
      </c>
      <c r="AK10" s="3">
        <f t="shared" si="9"/>
        <v>8.7689994989143139E-3</v>
      </c>
      <c r="AL10" s="3">
        <f t="shared" si="10"/>
        <v>0</v>
      </c>
      <c r="AM10" s="3">
        <f t="shared" si="11"/>
        <v>2.4811433108376342E-3</v>
      </c>
      <c r="AN10" s="3">
        <f t="shared" si="12"/>
        <v>8.9163115002585721E-3</v>
      </c>
      <c r="AO10" s="3">
        <f t="shared" si="13"/>
        <v>0.11939527904612854</v>
      </c>
      <c r="AP10" s="3">
        <f t="shared" si="14"/>
        <v>0.10191623759222888</v>
      </c>
      <c r="AQ10" s="6">
        <f t="shared" si="15"/>
        <v>3.7857146275216001E-3</v>
      </c>
      <c r="AR10" s="6">
        <f t="shared" si="16"/>
        <v>1.7651664086654415</v>
      </c>
      <c r="AS10" s="8">
        <f t="shared" si="3"/>
        <v>-32.814643310981396</v>
      </c>
      <c r="AT10" s="4">
        <f t="shared" si="4"/>
        <v>5.6076575534327737E-15</v>
      </c>
      <c r="AU10" s="4">
        <f t="shared" si="5"/>
        <v>5.6076575534327736E-11</v>
      </c>
      <c r="AV10" s="3">
        <f t="shared" si="17"/>
        <v>-10.251218515582673</v>
      </c>
    </row>
    <row r="11" spans="1:48">
      <c r="A11" s="2" t="s">
        <v>422</v>
      </c>
      <c r="C11" s="2">
        <v>1200</v>
      </c>
      <c r="D11" s="3">
        <f t="shared" si="6"/>
        <v>6.7881749991514777</v>
      </c>
      <c r="E11" s="2">
        <v>0.8</v>
      </c>
      <c r="F11" s="2">
        <f>14.9*10^4</f>
        <v>149000</v>
      </c>
      <c r="G11" s="2">
        <v>6</v>
      </c>
      <c r="I11" s="2">
        <v>2000</v>
      </c>
      <c r="J11" s="2">
        <f>2.4 * 10^(-9)</f>
        <v>2.4E-9</v>
      </c>
      <c r="L11" s="3">
        <f t="shared" si="7"/>
        <v>-8.6197887582883936</v>
      </c>
      <c r="M11" s="3"/>
      <c r="N11" s="3"/>
      <c r="O11" s="3"/>
      <c r="P11" s="3"/>
      <c r="R11" s="2">
        <v>76.099999999999994</v>
      </c>
      <c r="S11" s="2">
        <v>0.1</v>
      </c>
      <c r="T11" s="2">
        <v>13</v>
      </c>
      <c r="V11" s="2">
        <v>0.7</v>
      </c>
      <c r="X11" s="2">
        <v>0.1</v>
      </c>
      <c r="Y11" s="2">
        <v>0.5</v>
      </c>
      <c r="Z11" s="2">
        <v>3.7</v>
      </c>
      <c r="AA11" s="2">
        <v>4.8</v>
      </c>
      <c r="AB11" s="2">
        <v>0</v>
      </c>
      <c r="AC11" s="2">
        <v>0</v>
      </c>
      <c r="AD11" s="2">
        <v>1.31</v>
      </c>
      <c r="AF11" s="2">
        <v>12.83</v>
      </c>
      <c r="AG11" s="3">
        <f t="shared" si="0"/>
        <v>1.2665601491245588</v>
      </c>
      <c r="AH11" s="3">
        <f t="shared" si="1"/>
        <v>1.2521129405872412E-3</v>
      </c>
      <c r="AI11" s="3">
        <f t="shared" si="2"/>
        <v>0.25499946057806416</v>
      </c>
      <c r="AJ11" s="3">
        <f t="shared" si="8"/>
        <v>8.7671507386324486E-4</v>
      </c>
      <c r="AK11" s="3">
        <f t="shared" si="9"/>
        <v>8.7689994989143139E-3</v>
      </c>
      <c r="AL11" s="3">
        <f t="shared" si="10"/>
        <v>0</v>
      </c>
      <c r="AM11" s="3">
        <f t="shared" si="11"/>
        <v>2.4811433108376342E-3</v>
      </c>
      <c r="AN11" s="3">
        <f t="shared" si="12"/>
        <v>8.9163115002585721E-3</v>
      </c>
      <c r="AO11" s="3">
        <f t="shared" si="13"/>
        <v>0.11939527904612854</v>
      </c>
      <c r="AP11" s="3">
        <f t="shared" si="14"/>
        <v>0.10191623759222888</v>
      </c>
      <c r="AQ11" s="6">
        <f t="shared" si="15"/>
        <v>3.7857146275216001E-3</v>
      </c>
      <c r="AR11" s="6">
        <f t="shared" si="16"/>
        <v>1.7651664086654415</v>
      </c>
      <c r="AS11" s="8">
        <f t="shared" si="3"/>
        <v>-30.26001600510498</v>
      </c>
      <c r="AT11" s="4">
        <f t="shared" si="4"/>
        <v>7.2150945502062509E-14</v>
      </c>
      <c r="AU11" s="4">
        <f t="shared" si="5"/>
        <v>7.215094550206251E-10</v>
      </c>
      <c r="AV11" s="3">
        <f t="shared" si="17"/>
        <v>-9.1417579733211749</v>
      </c>
    </row>
    <row r="12" spans="1:48">
      <c r="A12" s="2" t="s">
        <v>423</v>
      </c>
      <c r="C12" s="2">
        <v>1385</v>
      </c>
      <c r="D12" s="3">
        <f t="shared" si="6"/>
        <v>6.030817477309049</v>
      </c>
      <c r="E12" s="2">
        <v>0.8</v>
      </c>
      <c r="F12" s="2">
        <f>1.71*10^4</f>
        <v>17100</v>
      </c>
      <c r="G12" s="2">
        <v>6</v>
      </c>
      <c r="I12" s="2">
        <v>12800</v>
      </c>
      <c r="J12" s="2">
        <f>1.95 * 10^(-8)</f>
        <v>1.9499999999999999E-8</v>
      </c>
      <c r="L12" s="3">
        <f t="shared" si="7"/>
        <v>-7.7099653886374817</v>
      </c>
      <c r="M12" s="3"/>
      <c r="N12" s="3"/>
      <c r="O12" s="3"/>
      <c r="P12" s="3"/>
      <c r="R12" s="2">
        <v>76.099999999999994</v>
      </c>
      <c r="S12" s="2">
        <v>0.1</v>
      </c>
      <c r="T12" s="2">
        <v>13</v>
      </c>
      <c r="V12" s="2">
        <v>0.7</v>
      </c>
      <c r="X12" s="2">
        <v>0.1</v>
      </c>
      <c r="Y12" s="2">
        <v>0.5</v>
      </c>
      <c r="Z12" s="2">
        <v>3.7</v>
      </c>
      <c r="AA12" s="2">
        <v>4.8</v>
      </c>
      <c r="AB12" s="2">
        <v>0</v>
      </c>
      <c r="AC12" s="2">
        <v>0</v>
      </c>
      <c r="AD12" s="2">
        <v>1.31</v>
      </c>
      <c r="AF12" s="2">
        <v>12.83</v>
      </c>
      <c r="AG12" s="3">
        <f t="shared" si="0"/>
        <v>1.2665601491245588</v>
      </c>
      <c r="AH12" s="3">
        <f t="shared" si="1"/>
        <v>1.2521129405872412E-3</v>
      </c>
      <c r="AI12" s="3">
        <f t="shared" si="2"/>
        <v>0.25499946057806416</v>
      </c>
      <c r="AJ12" s="3">
        <f t="shared" si="8"/>
        <v>8.7671507386324486E-4</v>
      </c>
      <c r="AK12" s="3">
        <f t="shared" si="9"/>
        <v>8.7689994989143139E-3</v>
      </c>
      <c r="AL12" s="3">
        <f t="shared" si="10"/>
        <v>0</v>
      </c>
      <c r="AM12" s="3">
        <f t="shared" si="11"/>
        <v>2.4811433108376342E-3</v>
      </c>
      <c r="AN12" s="3">
        <f t="shared" si="12"/>
        <v>8.9163115002585721E-3</v>
      </c>
      <c r="AO12" s="3">
        <f t="shared" si="13"/>
        <v>0.11939527904612854</v>
      </c>
      <c r="AP12" s="3">
        <f t="shared" si="14"/>
        <v>0.10191623759222888</v>
      </c>
      <c r="AQ12" s="6">
        <f t="shared" si="15"/>
        <v>3.7857146275216001E-3</v>
      </c>
      <c r="AR12" s="6">
        <f t="shared" si="16"/>
        <v>1.7651664086654415</v>
      </c>
      <c r="AS12" s="8">
        <f t="shared" si="3"/>
        <v>-28.212384221323504</v>
      </c>
      <c r="AT12" s="4">
        <f t="shared" si="4"/>
        <v>5.5913568600639425E-13</v>
      </c>
      <c r="AU12" s="4">
        <f t="shared" si="5"/>
        <v>5.5913568600639424E-9</v>
      </c>
      <c r="AV12" s="3">
        <f t="shared" si="17"/>
        <v>-8.2524827886551684</v>
      </c>
    </row>
    <row r="13" spans="1:48">
      <c r="A13" s="2" t="s">
        <v>424</v>
      </c>
      <c r="C13" s="2">
        <v>1200</v>
      </c>
      <c r="D13" s="3">
        <f t="shared" si="6"/>
        <v>6.7881749991514777</v>
      </c>
      <c r="E13" s="2">
        <v>0.8</v>
      </c>
      <c r="F13" s="2">
        <f>2.4*10^4</f>
        <v>24000</v>
      </c>
      <c r="G13" s="2">
        <v>1</v>
      </c>
      <c r="I13" s="2">
        <v>2980</v>
      </c>
      <c r="J13" s="2">
        <f>8.6 * 10^(-11)</f>
        <v>8.5999999999999987E-11</v>
      </c>
      <c r="L13" s="3">
        <f t="shared" si="7"/>
        <v>-10.065501548756432</v>
      </c>
      <c r="M13" s="3"/>
      <c r="N13" s="3"/>
      <c r="O13" s="3"/>
      <c r="P13" s="3"/>
      <c r="R13" s="2">
        <v>76.099999999999994</v>
      </c>
      <c r="S13" s="2">
        <v>0.1</v>
      </c>
      <c r="T13" s="2">
        <v>13</v>
      </c>
      <c r="V13" s="2">
        <v>0.7</v>
      </c>
      <c r="X13" s="2">
        <v>0.1</v>
      </c>
      <c r="Y13" s="2">
        <v>0.5</v>
      </c>
      <c r="Z13" s="2">
        <v>3.7</v>
      </c>
      <c r="AA13" s="2">
        <v>4.8</v>
      </c>
      <c r="AB13" s="2">
        <v>0</v>
      </c>
      <c r="AC13" s="2">
        <v>0</v>
      </c>
      <c r="AD13" s="2">
        <v>1.31</v>
      </c>
      <c r="AF13" s="2">
        <v>12.83</v>
      </c>
      <c r="AG13" s="3">
        <f t="shared" si="0"/>
        <v>1.2665601491245588</v>
      </c>
      <c r="AH13" s="3">
        <f t="shared" si="1"/>
        <v>1.2521129405872412E-3</v>
      </c>
      <c r="AI13" s="3">
        <f t="shared" si="2"/>
        <v>0.25499946057806416</v>
      </c>
      <c r="AJ13" s="3">
        <f t="shared" si="8"/>
        <v>8.7671507386324486E-4</v>
      </c>
      <c r="AK13" s="3">
        <f t="shared" si="9"/>
        <v>8.7689994989143139E-3</v>
      </c>
      <c r="AL13" s="3">
        <f t="shared" si="10"/>
        <v>0</v>
      </c>
      <c r="AM13" s="3">
        <f t="shared" si="11"/>
        <v>2.4811433108376342E-3</v>
      </c>
      <c r="AN13" s="3">
        <f t="shared" si="12"/>
        <v>8.9163115002585721E-3</v>
      </c>
      <c r="AO13" s="3">
        <f t="shared" si="13"/>
        <v>0.11939527904612854</v>
      </c>
      <c r="AP13" s="3">
        <f t="shared" si="14"/>
        <v>0.10191623759222888</v>
      </c>
      <c r="AQ13" s="6">
        <f t="shared" si="15"/>
        <v>3.7857146275216001E-3</v>
      </c>
      <c r="AR13" s="6">
        <f t="shared" si="16"/>
        <v>1.7651664086654415</v>
      </c>
      <c r="AS13" s="8">
        <f t="shared" si="3"/>
        <v>-31.879544202202901</v>
      </c>
      <c r="AT13" s="4">
        <f t="shared" si="4"/>
        <v>1.4285316516609333E-14</v>
      </c>
      <c r="AU13" s="4">
        <f t="shared" si="5"/>
        <v>1.4285316516609333E-10</v>
      </c>
      <c r="AV13" s="3">
        <f t="shared" si="17"/>
        <v>-9.845110132607525</v>
      </c>
    </row>
    <row r="14" spans="1:48">
      <c r="A14" s="2" t="s">
        <v>425</v>
      </c>
      <c r="C14" s="2">
        <v>1200</v>
      </c>
      <c r="D14" s="3">
        <f t="shared" si="6"/>
        <v>6.7881749991514777</v>
      </c>
      <c r="E14" s="2">
        <v>0.8</v>
      </c>
      <c r="F14" s="2">
        <f>2.19*10^4</f>
        <v>21900</v>
      </c>
      <c r="G14" s="2">
        <v>2.2999999999999998</v>
      </c>
      <c r="I14" s="2">
        <v>4200</v>
      </c>
      <c r="J14" s="2">
        <f>4.46 * 10^(-10)</f>
        <v>4.4600000000000001E-10</v>
      </c>
      <c r="L14" s="3">
        <f t="shared" si="7"/>
        <v>-9.350665141287859</v>
      </c>
      <c r="M14" s="3"/>
      <c r="N14" s="3"/>
      <c r="O14" s="3"/>
      <c r="P14" s="3"/>
      <c r="R14" s="2">
        <v>76.099999999999994</v>
      </c>
      <c r="S14" s="2">
        <v>0.1</v>
      </c>
      <c r="T14" s="2">
        <v>13</v>
      </c>
      <c r="V14" s="2">
        <v>0.7</v>
      </c>
      <c r="X14" s="2">
        <v>0.1</v>
      </c>
      <c r="Y14" s="2">
        <v>0.5</v>
      </c>
      <c r="Z14" s="2">
        <v>3.7</v>
      </c>
      <c r="AA14" s="2">
        <v>4.8</v>
      </c>
      <c r="AB14" s="2">
        <v>0</v>
      </c>
      <c r="AC14" s="2">
        <v>0</v>
      </c>
      <c r="AD14" s="2">
        <v>1.31</v>
      </c>
      <c r="AF14" s="2">
        <v>12.83</v>
      </c>
      <c r="AG14" s="3">
        <f t="shared" si="0"/>
        <v>1.2665601491245588</v>
      </c>
      <c r="AH14" s="3">
        <f t="shared" si="1"/>
        <v>1.2521129405872412E-3</v>
      </c>
      <c r="AI14" s="3">
        <f t="shared" si="2"/>
        <v>0.25499946057806416</v>
      </c>
      <c r="AJ14" s="3">
        <f t="shared" si="8"/>
        <v>8.7671507386324486E-4</v>
      </c>
      <c r="AK14" s="3">
        <f t="shared" si="9"/>
        <v>8.7689994989143139E-3</v>
      </c>
      <c r="AL14" s="3">
        <f t="shared" si="10"/>
        <v>0</v>
      </c>
      <c r="AM14" s="3">
        <f t="shared" si="11"/>
        <v>2.4811433108376342E-3</v>
      </c>
      <c r="AN14" s="3">
        <f t="shared" si="12"/>
        <v>8.9163115002585721E-3</v>
      </c>
      <c r="AO14" s="3">
        <f t="shared" si="13"/>
        <v>0.11939527904612854</v>
      </c>
      <c r="AP14" s="3">
        <f t="shared" si="14"/>
        <v>0.10191623759222888</v>
      </c>
      <c r="AQ14" s="6">
        <f t="shared" si="15"/>
        <v>3.7857146275216001E-3</v>
      </c>
      <c r="AR14" s="6">
        <f t="shared" si="16"/>
        <v>1.7651664086654415</v>
      </c>
      <c r="AS14" s="8">
        <f t="shared" si="3"/>
        <v>-31.458466870957441</v>
      </c>
      <c r="AT14" s="4">
        <f t="shared" si="4"/>
        <v>2.176513818531329E-14</v>
      </c>
      <c r="AU14" s="4">
        <f t="shared" si="5"/>
        <v>2.176513818531329E-10</v>
      </c>
      <c r="AV14" s="3">
        <f t="shared" si="17"/>
        <v>-9.6622385711930736</v>
      </c>
    </row>
    <row r="15" spans="1:48">
      <c r="A15" s="2" t="s">
        <v>426</v>
      </c>
      <c r="C15" s="2">
        <v>1200</v>
      </c>
      <c r="D15" s="3">
        <f t="shared" si="6"/>
        <v>6.7881749991514777</v>
      </c>
      <c r="E15" s="2">
        <v>0.8</v>
      </c>
      <c r="F15" s="2">
        <f>2.31*10^4</f>
        <v>23100</v>
      </c>
      <c r="G15" s="2">
        <v>4.2</v>
      </c>
      <c r="I15" s="2">
        <v>4700</v>
      </c>
      <c r="J15" s="2">
        <f>8.94 * 10^(-10)</f>
        <v>8.9400000000000001E-10</v>
      </c>
      <c r="L15" s="3">
        <f t="shared" si="7"/>
        <v>-9.048662481204083</v>
      </c>
      <c r="M15" s="3"/>
      <c r="N15" s="3"/>
      <c r="O15" s="3"/>
      <c r="P15" s="3"/>
      <c r="R15" s="2">
        <v>76.099999999999994</v>
      </c>
      <c r="S15" s="2">
        <v>0.1</v>
      </c>
      <c r="T15" s="2">
        <v>13</v>
      </c>
      <c r="V15" s="2">
        <v>0.7</v>
      </c>
      <c r="X15" s="2">
        <v>0.1</v>
      </c>
      <c r="Y15" s="2">
        <v>0.5</v>
      </c>
      <c r="Z15" s="2">
        <v>3.7</v>
      </c>
      <c r="AA15" s="2">
        <v>4.8</v>
      </c>
      <c r="AB15" s="2">
        <v>0</v>
      </c>
      <c r="AC15" s="2">
        <v>0</v>
      </c>
      <c r="AD15" s="2">
        <v>1.31</v>
      </c>
      <c r="AF15" s="2">
        <v>12.83</v>
      </c>
      <c r="AG15" s="3">
        <f t="shared" si="0"/>
        <v>1.2665601491245588</v>
      </c>
      <c r="AH15" s="3">
        <f t="shared" si="1"/>
        <v>1.2521129405872412E-3</v>
      </c>
      <c r="AI15" s="3">
        <f t="shared" si="2"/>
        <v>0.25499946057806416</v>
      </c>
      <c r="AJ15" s="3">
        <f t="shared" si="8"/>
        <v>8.7671507386324486E-4</v>
      </c>
      <c r="AK15" s="3">
        <f t="shared" si="9"/>
        <v>8.7689994989143139E-3</v>
      </c>
      <c r="AL15" s="3">
        <f t="shared" si="10"/>
        <v>0</v>
      </c>
      <c r="AM15" s="3">
        <f t="shared" si="11"/>
        <v>2.4811433108376342E-3</v>
      </c>
      <c r="AN15" s="3">
        <f t="shared" si="12"/>
        <v>8.9163115002585721E-3</v>
      </c>
      <c r="AO15" s="3">
        <f t="shared" si="13"/>
        <v>0.11939527904612854</v>
      </c>
      <c r="AP15" s="3">
        <f t="shared" si="14"/>
        <v>0.10191623759222888</v>
      </c>
      <c r="AQ15" s="6">
        <f t="shared" si="15"/>
        <v>3.7857146275216001E-3</v>
      </c>
      <c r="AR15" s="6">
        <f t="shared" si="16"/>
        <v>1.7651664086654415</v>
      </c>
      <c r="AS15" s="8">
        <f t="shared" si="3"/>
        <v>-30.843046156060232</v>
      </c>
      <c r="AT15" s="4">
        <f t="shared" si="4"/>
        <v>4.027497220169772E-14</v>
      </c>
      <c r="AU15" s="4">
        <f t="shared" si="5"/>
        <v>4.0274972201697717E-10</v>
      </c>
      <c r="AV15" s="3">
        <f t="shared" si="17"/>
        <v>-9.3949647506642613</v>
      </c>
    </row>
    <row r="16" spans="1:48">
      <c r="A16" s="2" t="s">
        <v>427</v>
      </c>
      <c r="C16" s="2">
        <v>1200</v>
      </c>
      <c r="D16" s="3">
        <f t="shared" si="6"/>
        <v>6.7881749991514777</v>
      </c>
      <c r="E16" s="2">
        <v>0.8</v>
      </c>
      <c r="F16" s="2">
        <f>3.06*10^4</f>
        <v>30600</v>
      </c>
      <c r="G16" s="2">
        <v>6.3</v>
      </c>
      <c r="I16" s="2">
        <v>3850</v>
      </c>
      <c r="J16" s="2">
        <f>1.33 * 10^(-9)</f>
        <v>1.3300000000000002E-9</v>
      </c>
      <c r="L16" s="3">
        <f t="shared" si="7"/>
        <v>-8.8761483590329142</v>
      </c>
      <c r="M16" s="3"/>
      <c r="N16" s="3"/>
      <c r="O16" s="3"/>
      <c r="P16" s="3"/>
      <c r="R16" s="2">
        <v>76.099999999999994</v>
      </c>
      <c r="S16" s="2">
        <v>0.1</v>
      </c>
      <c r="T16" s="2">
        <v>13</v>
      </c>
      <c r="V16" s="2">
        <v>0.7</v>
      </c>
      <c r="X16" s="2">
        <v>0.1</v>
      </c>
      <c r="Y16" s="2">
        <v>0.5</v>
      </c>
      <c r="Z16" s="2">
        <v>3.7</v>
      </c>
      <c r="AA16" s="2">
        <v>4.8</v>
      </c>
      <c r="AB16" s="2">
        <v>0</v>
      </c>
      <c r="AC16" s="2">
        <v>0</v>
      </c>
      <c r="AD16" s="2">
        <v>1.31</v>
      </c>
      <c r="AF16" s="2">
        <v>12.83</v>
      </c>
      <c r="AG16" s="3">
        <f t="shared" si="0"/>
        <v>1.2665601491245588</v>
      </c>
      <c r="AH16" s="3">
        <f t="shared" si="1"/>
        <v>1.2521129405872412E-3</v>
      </c>
      <c r="AI16" s="3">
        <f t="shared" si="2"/>
        <v>0.25499946057806416</v>
      </c>
      <c r="AJ16" s="3">
        <f t="shared" si="8"/>
        <v>8.7671507386324486E-4</v>
      </c>
      <c r="AK16" s="3">
        <f t="shared" si="9"/>
        <v>8.7689994989143139E-3</v>
      </c>
      <c r="AL16" s="3">
        <f t="shared" si="10"/>
        <v>0</v>
      </c>
      <c r="AM16" s="3">
        <f t="shared" si="11"/>
        <v>2.4811433108376342E-3</v>
      </c>
      <c r="AN16" s="3">
        <f t="shared" si="12"/>
        <v>8.9163115002585721E-3</v>
      </c>
      <c r="AO16" s="3">
        <f t="shared" si="13"/>
        <v>0.11939527904612854</v>
      </c>
      <c r="AP16" s="3">
        <f t="shared" si="14"/>
        <v>0.10191623759222888</v>
      </c>
      <c r="AQ16" s="6">
        <f t="shared" si="15"/>
        <v>3.7857146275216001E-3</v>
      </c>
      <c r="AR16" s="6">
        <f t="shared" si="16"/>
        <v>1.7651664086654415</v>
      </c>
      <c r="AS16" s="8">
        <f t="shared" si="3"/>
        <v>-30.162844313279106</v>
      </c>
      <c r="AT16" s="4">
        <f t="shared" si="4"/>
        <v>7.9513918485967166E-14</v>
      </c>
      <c r="AU16" s="4">
        <f t="shared" si="5"/>
        <v>7.951391848596717E-10</v>
      </c>
      <c r="AV16" s="3">
        <f t="shared" si="17"/>
        <v>-9.0995568437639953</v>
      </c>
    </row>
    <row r="17" spans="1:48"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6"/>
      <c r="AR17" s="6"/>
      <c r="AV17" s="3"/>
    </row>
    <row r="18" spans="1:48">
      <c r="A18" s="1" t="s">
        <v>428</v>
      </c>
      <c r="B18" s="1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6"/>
      <c r="AR18" s="6"/>
      <c r="AV18" s="3"/>
    </row>
    <row r="19" spans="1:48">
      <c r="A19" s="2" t="s">
        <v>429</v>
      </c>
      <c r="R19" s="1" t="s">
        <v>6</v>
      </c>
      <c r="S19" s="1" t="s">
        <v>12</v>
      </c>
      <c r="T19" s="1" t="s">
        <v>5</v>
      </c>
      <c r="U19" s="1"/>
      <c r="V19" s="1" t="s">
        <v>10</v>
      </c>
      <c r="W19" s="1" t="s">
        <v>9</v>
      </c>
      <c r="X19" s="1" t="s">
        <v>11</v>
      </c>
      <c r="Y19" s="1" t="s">
        <v>8</v>
      </c>
      <c r="Z19" s="1" t="s">
        <v>4</v>
      </c>
      <c r="AA19" s="1" t="s">
        <v>7</v>
      </c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6"/>
      <c r="AR19" s="6"/>
      <c r="AV19" s="3"/>
    </row>
    <row r="20" spans="1:48">
      <c r="A20" s="2" t="s">
        <v>430</v>
      </c>
      <c r="C20" s="2">
        <v>1050</v>
      </c>
      <c r="D20" s="3">
        <f t="shared" ref="D20:D35" si="18">10000/(C20+273.15)</f>
        <v>7.5577221025582881</v>
      </c>
      <c r="E20" s="2">
        <v>1</v>
      </c>
      <c r="F20" s="2">
        <v>154800</v>
      </c>
      <c r="G20" s="2">
        <v>3.92</v>
      </c>
      <c r="I20" s="2">
        <v>875</v>
      </c>
      <c r="J20" s="2">
        <f>5.81 * 10^(-10)</f>
        <v>5.8099999999999996E-10</v>
      </c>
      <c r="L20" s="3">
        <f t="shared" ref="L20:L63" si="19">LOG(J20)</f>
        <v>-9.2358238676096693</v>
      </c>
      <c r="M20" s="3"/>
      <c r="N20" s="3"/>
      <c r="O20" s="3"/>
      <c r="P20" s="3"/>
      <c r="R20" s="2">
        <v>76.37</v>
      </c>
      <c r="S20" s="2">
        <v>0.11</v>
      </c>
      <c r="T20" s="2">
        <v>13.35</v>
      </c>
      <c r="V20" s="2">
        <v>0.79</v>
      </c>
      <c r="W20" s="2">
        <v>0.06</v>
      </c>
      <c r="X20" s="2">
        <v>7.0000000000000007E-2</v>
      </c>
      <c r="Y20" s="2">
        <v>0.51</v>
      </c>
      <c r="Z20" s="2">
        <v>4.3099999999999996</v>
      </c>
      <c r="AA20" s="2">
        <v>4.67</v>
      </c>
      <c r="AB20" s="2">
        <v>0</v>
      </c>
      <c r="AC20" s="2">
        <v>0</v>
      </c>
      <c r="AD20" s="2">
        <v>1.37</v>
      </c>
      <c r="AE20" s="2">
        <v>1.5</v>
      </c>
      <c r="AF20" s="2">
        <v>12.12</v>
      </c>
      <c r="AG20" s="3">
        <f t="shared" ref="AG20:AG35" si="20">R20/(28.086+15.999*2)</f>
        <v>1.2710538579322281</v>
      </c>
      <c r="AH20" s="3">
        <f t="shared" ref="AH20:AH35" si="21">S20/(47.867+15.999*2)</f>
        <v>1.3773242346459651E-3</v>
      </c>
      <c r="AI20" s="3">
        <f t="shared" ref="AI20:AI35" si="22">T20/(26.982*2+15.999*3)*2</f>
        <v>0.2618648306705505</v>
      </c>
      <c r="AJ20" s="3">
        <f t="shared" si="8"/>
        <v>9.894355833599479E-4</v>
      </c>
      <c r="AK20" s="3">
        <f t="shared" si="9"/>
        <v>9.8964422916318715E-3</v>
      </c>
      <c r="AL20" s="3">
        <f t="shared" si="10"/>
        <v>8.4582093970706406E-4</v>
      </c>
      <c r="AM20" s="3">
        <f t="shared" si="11"/>
        <v>1.7368003175863439E-3</v>
      </c>
      <c r="AN20" s="3">
        <f t="shared" si="12"/>
        <v>9.0946377302637445E-3</v>
      </c>
      <c r="AO20" s="3">
        <f t="shared" si="13"/>
        <v>0.13907936559157133</v>
      </c>
      <c r="AP20" s="3">
        <f t="shared" si="14"/>
        <v>9.9156006157439358E-2</v>
      </c>
      <c r="AQ20" s="6">
        <f t="shared" si="15"/>
        <v>1.2068445039023167E-2</v>
      </c>
      <c r="AR20" s="6">
        <f t="shared" ref="AR20:AR35" si="23">SUM(AG20:AP20)</f>
        <v>1.7950945214489842</v>
      </c>
      <c r="AS20" s="8">
        <f t="shared" ref="AS20:AS35" si="24">-13.95+5.15*(G20/(1.007975*2+15.999)*2+4.1*(Y20/(40.078+15.999))-(X20/(24.3055+15.999)))/AR20-((36475*((R20/(28.085+15.999*2))+(T20/(26.982*2+15.999*3))*2-(1.8*(V20/(55.845+15.999))))/AR20)-11088*E20*(((R20/(28.085+15.999))+(T20/(26.982*2+15.999*3))*2)/AR20-2/3))/(C20+273.15)</f>
        <v>-32.113464090507009</v>
      </c>
      <c r="AT20" s="4">
        <f t="shared" ref="AT20:AT35" si="25">EXP(AS20)</f>
        <v>1.130575970653202E-14</v>
      </c>
      <c r="AU20" s="4">
        <f t="shared" ref="AU20:AU35" si="26">AT20*10000</f>
        <v>1.130575970653202E-10</v>
      </c>
      <c r="AV20" s="3">
        <f t="shared" si="17"/>
        <v>-9.9467002493054242</v>
      </c>
    </row>
    <row r="21" spans="1:48">
      <c r="A21" s="2" t="s">
        <v>431</v>
      </c>
      <c r="C21" s="2">
        <v>1050</v>
      </c>
      <c r="D21" s="3">
        <f t="shared" si="18"/>
        <v>7.5577221025582881</v>
      </c>
      <c r="E21" s="2">
        <v>1</v>
      </c>
      <c r="F21" s="2">
        <v>154800</v>
      </c>
      <c r="G21" s="2">
        <v>4.28</v>
      </c>
      <c r="I21" s="2">
        <v>767</v>
      </c>
      <c r="J21" s="2">
        <f>5.13 * 10^(-10)</f>
        <v>5.1299999999999999E-10</v>
      </c>
      <c r="L21" s="3">
        <f t="shared" si="19"/>
        <v>-9.2898826348881833</v>
      </c>
      <c r="M21" s="3"/>
      <c r="N21" s="3"/>
      <c r="O21" s="3"/>
      <c r="P21" s="3"/>
      <c r="R21" s="2">
        <v>76.37</v>
      </c>
      <c r="S21" s="2">
        <v>0.11</v>
      </c>
      <c r="T21" s="2">
        <v>13.35</v>
      </c>
      <c r="V21" s="2">
        <v>0.79</v>
      </c>
      <c r="W21" s="2">
        <v>0.06</v>
      </c>
      <c r="X21" s="2">
        <v>7.0000000000000007E-2</v>
      </c>
      <c r="Y21" s="2">
        <v>0.51</v>
      </c>
      <c r="Z21" s="2">
        <v>4.3099999999999996</v>
      </c>
      <c r="AA21" s="2">
        <v>4.67</v>
      </c>
      <c r="AB21" s="2">
        <v>0</v>
      </c>
      <c r="AC21" s="2">
        <v>0</v>
      </c>
      <c r="AD21" s="2">
        <v>1.37</v>
      </c>
      <c r="AE21" s="2">
        <v>1.5</v>
      </c>
      <c r="AF21" s="2">
        <v>12.12</v>
      </c>
      <c r="AG21" s="3">
        <f t="shared" si="20"/>
        <v>1.2710538579322281</v>
      </c>
      <c r="AH21" s="3">
        <f t="shared" si="21"/>
        <v>1.3773242346459651E-3</v>
      </c>
      <c r="AI21" s="3">
        <f t="shared" si="22"/>
        <v>0.2618648306705505</v>
      </c>
      <c r="AJ21" s="3">
        <f t="shared" si="8"/>
        <v>9.894355833599479E-4</v>
      </c>
      <c r="AK21" s="3">
        <f t="shared" si="9"/>
        <v>9.8964422916318715E-3</v>
      </c>
      <c r="AL21" s="3">
        <f t="shared" si="10"/>
        <v>8.4582093970706406E-4</v>
      </c>
      <c r="AM21" s="3">
        <f t="shared" si="11"/>
        <v>1.7368003175863439E-3</v>
      </c>
      <c r="AN21" s="3">
        <f t="shared" si="12"/>
        <v>9.0946377302637445E-3</v>
      </c>
      <c r="AO21" s="3">
        <f t="shared" si="13"/>
        <v>0.13907936559157133</v>
      </c>
      <c r="AP21" s="3">
        <f t="shared" si="14"/>
        <v>9.9156006157439358E-2</v>
      </c>
      <c r="AQ21" s="6">
        <f t="shared" si="15"/>
        <v>1.2068445039023167E-2</v>
      </c>
      <c r="AR21" s="6">
        <f t="shared" si="23"/>
        <v>1.7950945214489842</v>
      </c>
      <c r="AS21" s="8">
        <f t="shared" si="24"/>
        <v>-31.998802135338806</v>
      </c>
      <c r="AT21" s="4">
        <f t="shared" si="25"/>
        <v>1.2679344594875199E-14</v>
      </c>
      <c r="AU21" s="4">
        <f t="shared" si="26"/>
        <v>1.2679344594875199E-10</v>
      </c>
      <c r="AV21" s="3">
        <f t="shared" si="17"/>
        <v>-9.8969031948916353</v>
      </c>
    </row>
    <row r="22" spans="1:48">
      <c r="A22" s="2" t="s">
        <v>432</v>
      </c>
      <c r="C22" s="2">
        <v>1200</v>
      </c>
      <c r="D22" s="3">
        <f t="shared" si="18"/>
        <v>6.7881749991514777</v>
      </c>
      <c r="E22" s="2">
        <v>1</v>
      </c>
      <c r="F22" s="2">
        <v>72000</v>
      </c>
      <c r="G22" s="2">
        <v>3.05</v>
      </c>
      <c r="I22" s="2">
        <v>2100</v>
      </c>
      <c r="J22" s="2">
        <f>2.14 * 10^(-9)</f>
        <v>2.1400000000000001E-9</v>
      </c>
      <c r="L22" s="3">
        <f t="shared" si="19"/>
        <v>-8.669586226650809</v>
      </c>
      <c r="M22" s="3"/>
      <c r="N22" s="3"/>
      <c r="O22" s="3"/>
      <c r="P22" s="3"/>
      <c r="R22" s="2">
        <v>76.37</v>
      </c>
      <c r="S22" s="2">
        <v>0.11</v>
      </c>
      <c r="T22" s="2">
        <v>13.35</v>
      </c>
      <c r="V22" s="2">
        <v>0.79</v>
      </c>
      <c r="W22" s="2">
        <v>0.06</v>
      </c>
      <c r="X22" s="2">
        <v>7.0000000000000007E-2</v>
      </c>
      <c r="Y22" s="2">
        <v>0.51</v>
      </c>
      <c r="Z22" s="2">
        <v>4.3099999999999996</v>
      </c>
      <c r="AA22" s="2">
        <v>4.67</v>
      </c>
      <c r="AB22" s="2">
        <v>0</v>
      </c>
      <c r="AC22" s="2">
        <v>0</v>
      </c>
      <c r="AD22" s="2">
        <v>1.37</v>
      </c>
      <c r="AE22" s="2">
        <v>1.5</v>
      </c>
      <c r="AF22" s="2">
        <v>12.12</v>
      </c>
      <c r="AG22" s="3">
        <f t="shared" si="20"/>
        <v>1.2710538579322281</v>
      </c>
      <c r="AH22" s="3">
        <f t="shared" si="21"/>
        <v>1.3773242346459651E-3</v>
      </c>
      <c r="AI22" s="3">
        <f t="shared" si="22"/>
        <v>0.2618648306705505</v>
      </c>
      <c r="AJ22" s="3">
        <f t="shared" si="8"/>
        <v>9.894355833599479E-4</v>
      </c>
      <c r="AK22" s="3">
        <f t="shared" si="9"/>
        <v>9.8964422916318715E-3</v>
      </c>
      <c r="AL22" s="3">
        <f t="shared" si="10"/>
        <v>8.4582093970706406E-4</v>
      </c>
      <c r="AM22" s="3">
        <f t="shared" si="11"/>
        <v>1.7368003175863439E-3</v>
      </c>
      <c r="AN22" s="3">
        <f t="shared" si="12"/>
        <v>9.0946377302637445E-3</v>
      </c>
      <c r="AO22" s="3">
        <f t="shared" si="13"/>
        <v>0.13907936559157133</v>
      </c>
      <c r="AP22" s="3">
        <f t="shared" si="14"/>
        <v>9.9156006157439358E-2</v>
      </c>
      <c r="AQ22" s="6">
        <f t="shared" si="15"/>
        <v>1.2068445039023167E-2</v>
      </c>
      <c r="AR22" s="6">
        <f t="shared" si="23"/>
        <v>1.7950945214489842</v>
      </c>
      <c r="AS22" s="8">
        <f t="shared" si="24"/>
        <v>-30.403597174932163</v>
      </c>
      <c r="AT22" s="4">
        <f t="shared" si="25"/>
        <v>6.2500791457271631E-14</v>
      </c>
      <c r="AU22" s="4">
        <f t="shared" si="26"/>
        <v>6.2500791457271635E-10</v>
      </c>
      <c r="AV22" s="3">
        <f t="shared" si="17"/>
        <v>-9.2041144830823338</v>
      </c>
    </row>
    <row r="23" spans="1:48">
      <c r="A23" s="2" t="s">
        <v>433</v>
      </c>
      <c r="C23" s="2">
        <v>1200</v>
      </c>
      <c r="D23" s="3">
        <f t="shared" si="18"/>
        <v>6.7881749991514777</v>
      </c>
      <c r="E23" s="2">
        <v>1</v>
      </c>
      <c r="F23" s="2">
        <v>72000</v>
      </c>
      <c r="G23" s="2">
        <v>4.83</v>
      </c>
      <c r="I23" s="2">
        <v>3088</v>
      </c>
      <c r="J23" s="2">
        <f>6.06 * 10^(-9)</f>
        <v>6.0600000000000002E-9</v>
      </c>
      <c r="L23" s="3">
        <f t="shared" si="19"/>
        <v>-8.2175273758337131</v>
      </c>
      <c r="M23" s="3"/>
      <c r="N23" s="3"/>
      <c r="O23" s="3"/>
      <c r="P23" s="3"/>
      <c r="R23" s="2">
        <v>76.37</v>
      </c>
      <c r="S23" s="2">
        <v>0.11</v>
      </c>
      <c r="T23" s="2">
        <v>13.35</v>
      </c>
      <c r="V23" s="2">
        <v>0.79</v>
      </c>
      <c r="W23" s="2">
        <v>0.06</v>
      </c>
      <c r="X23" s="2">
        <v>7.0000000000000007E-2</v>
      </c>
      <c r="Y23" s="2">
        <v>0.51</v>
      </c>
      <c r="Z23" s="2">
        <v>4.3099999999999996</v>
      </c>
      <c r="AA23" s="2">
        <v>4.67</v>
      </c>
      <c r="AB23" s="2">
        <v>0</v>
      </c>
      <c r="AC23" s="2">
        <v>0</v>
      </c>
      <c r="AD23" s="2">
        <v>1.37</v>
      </c>
      <c r="AE23" s="2">
        <v>1.5</v>
      </c>
      <c r="AF23" s="2">
        <v>12.12</v>
      </c>
      <c r="AG23" s="3">
        <f t="shared" si="20"/>
        <v>1.2710538579322281</v>
      </c>
      <c r="AH23" s="3">
        <f t="shared" si="21"/>
        <v>1.3773242346459651E-3</v>
      </c>
      <c r="AI23" s="3">
        <f t="shared" si="22"/>
        <v>0.2618648306705505</v>
      </c>
      <c r="AJ23" s="3">
        <f t="shared" si="8"/>
        <v>9.894355833599479E-4</v>
      </c>
      <c r="AK23" s="3">
        <f t="shared" si="9"/>
        <v>9.8964422916318715E-3</v>
      </c>
      <c r="AL23" s="3">
        <f t="shared" si="10"/>
        <v>8.4582093970706406E-4</v>
      </c>
      <c r="AM23" s="3">
        <f t="shared" si="11"/>
        <v>1.7368003175863439E-3</v>
      </c>
      <c r="AN23" s="3">
        <f t="shared" si="12"/>
        <v>9.0946377302637445E-3</v>
      </c>
      <c r="AO23" s="3">
        <f t="shared" si="13"/>
        <v>0.13907936559157133</v>
      </c>
      <c r="AP23" s="3">
        <f t="shared" si="14"/>
        <v>9.9156006157439358E-2</v>
      </c>
      <c r="AQ23" s="6">
        <f t="shared" si="15"/>
        <v>1.2068445039023167E-2</v>
      </c>
      <c r="AR23" s="6">
        <f t="shared" si="23"/>
        <v>1.7950945214489842</v>
      </c>
      <c r="AS23" s="8">
        <f t="shared" si="24"/>
        <v>-29.836657507711603</v>
      </c>
      <c r="AT23" s="4">
        <f t="shared" si="25"/>
        <v>1.1018038509679707E-13</v>
      </c>
      <c r="AU23" s="4">
        <f t="shared" si="26"/>
        <v>1.1018038509679707E-9</v>
      </c>
      <c r="AV23" s="3">
        <f t="shared" si="17"/>
        <v>-8.9578957140363791</v>
      </c>
    </row>
    <row r="24" spans="1:48">
      <c r="A24" s="2" t="s">
        <v>434</v>
      </c>
      <c r="C24" s="2">
        <v>1200</v>
      </c>
      <c r="D24" s="3">
        <f t="shared" si="18"/>
        <v>6.7881749991514777</v>
      </c>
      <c r="E24" s="2">
        <v>1</v>
      </c>
      <c r="F24" s="2">
        <v>28800</v>
      </c>
      <c r="G24" s="2">
        <v>4.5199999999999996</v>
      </c>
      <c r="I24" s="2">
        <v>2738</v>
      </c>
      <c r="J24" s="2">
        <f>1.19 * 10^(-8)</f>
        <v>1.1899999999999999E-8</v>
      </c>
      <c r="L24" s="3">
        <f t="shared" si="19"/>
        <v>-7.924453038607469</v>
      </c>
      <c r="M24" s="3"/>
      <c r="N24" s="3"/>
      <c r="O24" s="3"/>
      <c r="P24" s="3"/>
      <c r="R24" s="2">
        <v>76.37</v>
      </c>
      <c r="S24" s="2">
        <v>0.11</v>
      </c>
      <c r="T24" s="2">
        <v>13.35</v>
      </c>
      <c r="V24" s="2">
        <v>0.79</v>
      </c>
      <c r="W24" s="2">
        <v>0.06</v>
      </c>
      <c r="X24" s="2">
        <v>7.0000000000000007E-2</v>
      </c>
      <c r="Y24" s="2">
        <v>0.51</v>
      </c>
      <c r="Z24" s="2">
        <v>4.3099999999999996</v>
      </c>
      <c r="AA24" s="2">
        <v>4.67</v>
      </c>
      <c r="AB24" s="2">
        <v>0</v>
      </c>
      <c r="AC24" s="2">
        <v>0</v>
      </c>
      <c r="AD24" s="2">
        <v>1.37</v>
      </c>
      <c r="AE24" s="2">
        <v>1.5</v>
      </c>
      <c r="AF24" s="2">
        <v>12.12</v>
      </c>
      <c r="AG24" s="3">
        <f t="shared" si="20"/>
        <v>1.2710538579322281</v>
      </c>
      <c r="AH24" s="3">
        <f t="shared" si="21"/>
        <v>1.3773242346459651E-3</v>
      </c>
      <c r="AI24" s="3">
        <f t="shared" si="22"/>
        <v>0.2618648306705505</v>
      </c>
      <c r="AJ24" s="3">
        <f t="shared" si="8"/>
        <v>9.894355833599479E-4</v>
      </c>
      <c r="AK24" s="3">
        <f t="shared" si="9"/>
        <v>9.8964422916318715E-3</v>
      </c>
      <c r="AL24" s="3">
        <f t="shared" si="10"/>
        <v>8.4582093970706406E-4</v>
      </c>
      <c r="AM24" s="3">
        <f t="shared" si="11"/>
        <v>1.7368003175863439E-3</v>
      </c>
      <c r="AN24" s="3">
        <f t="shared" si="12"/>
        <v>9.0946377302637445E-3</v>
      </c>
      <c r="AO24" s="3">
        <f t="shared" si="13"/>
        <v>0.13907936559157133</v>
      </c>
      <c r="AP24" s="3">
        <f t="shared" si="14"/>
        <v>9.9156006157439358E-2</v>
      </c>
      <c r="AQ24" s="6">
        <f t="shared" si="15"/>
        <v>1.2068445039023167E-2</v>
      </c>
      <c r="AR24" s="6">
        <f t="shared" si="23"/>
        <v>1.7950945214489842</v>
      </c>
      <c r="AS24" s="8">
        <f t="shared" si="24"/>
        <v>-29.935394191328669</v>
      </c>
      <c r="AT24" s="4">
        <f t="shared" si="25"/>
        <v>9.9821361508223157E-14</v>
      </c>
      <c r="AU24" s="4">
        <f t="shared" si="26"/>
        <v>9.9821361508223156E-10</v>
      </c>
      <c r="AV24" s="3">
        <f t="shared" si="17"/>
        <v>-9.0007765108926989</v>
      </c>
    </row>
    <row r="25" spans="1:48">
      <c r="A25" s="2" t="s">
        <v>435</v>
      </c>
      <c r="C25" s="2">
        <v>1200</v>
      </c>
      <c r="D25" s="3">
        <f t="shared" si="18"/>
        <v>6.7881749991514777</v>
      </c>
      <c r="E25" s="2">
        <v>1</v>
      </c>
      <c r="F25" s="2">
        <v>28800</v>
      </c>
      <c r="G25" s="2">
        <v>4.4800000000000004</v>
      </c>
      <c r="I25" s="2">
        <v>2325</v>
      </c>
      <c r="J25" s="2">
        <f>8.96 * 10^(-9)</f>
        <v>8.9600000000000021E-9</v>
      </c>
      <c r="L25" s="3">
        <f t="shared" si="19"/>
        <v>-8.0476919903378743</v>
      </c>
      <c r="M25" s="3"/>
      <c r="N25" s="3"/>
      <c r="O25" s="3"/>
      <c r="P25" s="3"/>
      <c r="R25" s="2">
        <v>76.37</v>
      </c>
      <c r="S25" s="2">
        <v>0.11</v>
      </c>
      <c r="T25" s="2">
        <v>13.35</v>
      </c>
      <c r="V25" s="2">
        <v>0.79</v>
      </c>
      <c r="W25" s="2">
        <v>0.06</v>
      </c>
      <c r="X25" s="2">
        <v>7.0000000000000007E-2</v>
      </c>
      <c r="Y25" s="2">
        <v>0.51</v>
      </c>
      <c r="Z25" s="2">
        <v>4.3099999999999996</v>
      </c>
      <c r="AA25" s="2">
        <v>4.67</v>
      </c>
      <c r="AB25" s="2">
        <v>0</v>
      </c>
      <c r="AC25" s="2">
        <v>0</v>
      </c>
      <c r="AD25" s="2">
        <v>1.37</v>
      </c>
      <c r="AE25" s="2">
        <v>1.5</v>
      </c>
      <c r="AF25" s="2">
        <v>12.12</v>
      </c>
      <c r="AG25" s="3">
        <f t="shared" si="20"/>
        <v>1.2710538579322281</v>
      </c>
      <c r="AH25" s="3">
        <f t="shared" si="21"/>
        <v>1.3773242346459651E-3</v>
      </c>
      <c r="AI25" s="3">
        <f t="shared" si="22"/>
        <v>0.2618648306705505</v>
      </c>
      <c r="AJ25" s="3">
        <f t="shared" si="8"/>
        <v>9.894355833599479E-4</v>
      </c>
      <c r="AK25" s="3">
        <f t="shared" si="9"/>
        <v>9.8964422916318715E-3</v>
      </c>
      <c r="AL25" s="3">
        <f t="shared" si="10"/>
        <v>8.4582093970706406E-4</v>
      </c>
      <c r="AM25" s="3">
        <f t="shared" si="11"/>
        <v>1.7368003175863439E-3</v>
      </c>
      <c r="AN25" s="3">
        <f t="shared" si="12"/>
        <v>9.0946377302637445E-3</v>
      </c>
      <c r="AO25" s="3">
        <f t="shared" si="13"/>
        <v>0.13907936559157133</v>
      </c>
      <c r="AP25" s="3">
        <f t="shared" si="14"/>
        <v>9.9156006157439358E-2</v>
      </c>
      <c r="AQ25" s="6">
        <f t="shared" si="15"/>
        <v>1.2068445039023167E-2</v>
      </c>
      <c r="AR25" s="6">
        <f t="shared" si="23"/>
        <v>1.7950945214489842</v>
      </c>
      <c r="AS25" s="8">
        <f t="shared" si="24"/>
        <v>-29.94813440856958</v>
      </c>
      <c r="AT25" s="4">
        <f t="shared" si="25"/>
        <v>9.8557682542194929E-14</v>
      </c>
      <c r="AU25" s="4">
        <f t="shared" si="26"/>
        <v>9.8557682542194922E-10</v>
      </c>
      <c r="AV25" s="3">
        <f t="shared" si="17"/>
        <v>-9.0063095169386749</v>
      </c>
    </row>
    <row r="26" spans="1:48">
      <c r="A26" s="2" t="s">
        <v>436</v>
      </c>
      <c r="C26" s="2">
        <v>1200</v>
      </c>
      <c r="D26" s="3">
        <f t="shared" si="18"/>
        <v>6.7881749991514777</v>
      </c>
      <c r="E26" s="2">
        <v>1</v>
      </c>
      <c r="F26" s="2">
        <v>28800</v>
      </c>
      <c r="G26" s="2">
        <v>4.68</v>
      </c>
      <c r="I26" s="2">
        <v>3125</v>
      </c>
      <c r="J26" s="2">
        <f>1.69 * 10^(-8)</f>
        <v>1.6899999999999999E-8</v>
      </c>
      <c r="L26" s="3">
        <f t="shared" si="19"/>
        <v>-7.7721132953863261</v>
      </c>
      <c r="M26" s="3"/>
      <c r="N26" s="3"/>
      <c r="O26" s="3"/>
      <c r="P26" s="3"/>
      <c r="R26" s="2">
        <v>76.37</v>
      </c>
      <c r="S26" s="2">
        <v>0.11</v>
      </c>
      <c r="T26" s="2">
        <v>13.35</v>
      </c>
      <c r="V26" s="2">
        <v>0.79</v>
      </c>
      <c r="W26" s="2">
        <v>0.06</v>
      </c>
      <c r="X26" s="2">
        <v>7.0000000000000007E-2</v>
      </c>
      <c r="Y26" s="2">
        <v>0.51</v>
      </c>
      <c r="Z26" s="2">
        <v>4.3099999999999996</v>
      </c>
      <c r="AA26" s="2">
        <v>4.67</v>
      </c>
      <c r="AB26" s="2">
        <v>0</v>
      </c>
      <c r="AC26" s="2">
        <v>0</v>
      </c>
      <c r="AD26" s="2">
        <v>1.37</v>
      </c>
      <c r="AE26" s="2">
        <v>1.5</v>
      </c>
      <c r="AF26" s="2">
        <v>12.12</v>
      </c>
      <c r="AG26" s="3">
        <f t="shared" si="20"/>
        <v>1.2710538579322281</v>
      </c>
      <c r="AH26" s="3">
        <f t="shared" si="21"/>
        <v>1.3773242346459651E-3</v>
      </c>
      <c r="AI26" s="3">
        <f t="shared" si="22"/>
        <v>0.2618648306705505</v>
      </c>
      <c r="AJ26" s="3">
        <f t="shared" si="8"/>
        <v>9.894355833599479E-4</v>
      </c>
      <c r="AK26" s="3">
        <f t="shared" si="9"/>
        <v>9.8964422916318715E-3</v>
      </c>
      <c r="AL26" s="3">
        <f t="shared" si="10"/>
        <v>8.4582093970706406E-4</v>
      </c>
      <c r="AM26" s="3">
        <f t="shared" si="11"/>
        <v>1.7368003175863439E-3</v>
      </c>
      <c r="AN26" s="3">
        <f t="shared" si="12"/>
        <v>9.0946377302637445E-3</v>
      </c>
      <c r="AO26" s="3">
        <f t="shared" si="13"/>
        <v>0.13907936559157133</v>
      </c>
      <c r="AP26" s="3">
        <f t="shared" si="14"/>
        <v>9.9156006157439358E-2</v>
      </c>
      <c r="AQ26" s="6">
        <f t="shared" si="15"/>
        <v>1.2068445039023167E-2</v>
      </c>
      <c r="AR26" s="6">
        <f t="shared" si="23"/>
        <v>1.7950945214489842</v>
      </c>
      <c r="AS26" s="8">
        <f t="shared" si="24"/>
        <v>-29.88443332236502</v>
      </c>
      <c r="AT26" s="4">
        <f t="shared" si="25"/>
        <v>1.0504019354174847E-13</v>
      </c>
      <c r="AU26" s="4">
        <f t="shared" si="26"/>
        <v>1.0504019354174847E-9</v>
      </c>
      <c r="AV26" s="3">
        <f t="shared" si="17"/>
        <v>-8.9786444867087916</v>
      </c>
    </row>
    <row r="27" spans="1:48">
      <c r="A27" s="2" t="s">
        <v>437</v>
      </c>
      <c r="C27" s="2">
        <v>1400</v>
      </c>
      <c r="D27" s="3">
        <f t="shared" si="18"/>
        <v>5.9767504407853451</v>
      </c>
      <c r="E27" s="2">
        <v>1</v>
      </c>
      <c r="F27" s="2">
        <v>7200</v>
      </c>
      <c r="G27" s="2">
        <v>3.54</v>
      </c>
      <c r="I27" s="2">
        <v>11492</v>
      </c>
      <c r="J27" s="2">
        <f>1.18 * 10^(-8)</f>
        <v>1.18E-8</v>
      </c>
      <c r="L27" s="3">
        <f t="shared" si="19"/>
        <v>-7.928117992693875</v>
      </c>
      <c r="M27" s="3"/>
      <c r="N27" s="3"/>
      <c r="O27" s="3"/>
      <c r="P27" s="3"/>
      <c r="R27" s="2">
        <v>76.37</v>
      </c>
      <c r="S27" s="2">
        <v>0.11</v>
      </c>
      <c r="T27" s="2">
        <v>13.35</v>
      </c>
      <c r="V27" s="2">
        <v>0.79</v>
      </c>
      <c r="W27" s="2">
        <v>0.06</v>
      </c>
      <c r="X27" s="2">
        <v>7.0000000000000007E-2</v>
      </c>
      <c r="Y27" s="2">
        <v>0.51</v>
      </c>
      <c r="Z27" s="2">
        <v>4.3099999999999996</v>
      </c>
      <c r="AA27" s="2">
        <v>4.67</v>
      </c>
      <c r="AB27" s="2">
        <v>0</v>
      </c>
      <c r="AC27" s="2">
        <v>0</v>
      </c>
      <c r="AD27" s="2">
        <v>1.37</v>
      </c>
      <c r="AE27" s="2">
        <v>1.5</v>
      </c>
      <c r="AF27" s="2">
        <v>12.12</v>
      </c>
      <c r="AG27" s="3">
        <f t="shared" si="20"/>
        <v>1.2710538579322281</v>
      </c>
      <c r="AH27" s="3">
        <f t="shared" si="21"/>
        <v>1.3773242346459651E-3</v>
      </c>
      <c r="AI27" s="3">
        <f t="shared" si="22"/>
        <v>0.2618648306705505</v>
      </c>
      <c r="AJ27" s="3">
        <f t="shared" si="8"/>
        <v>9.894355833599479E-4</v>
      </c>
      <c r="AK27" s="3">
        <f t="shared" si="9"/>
        <v>9.8964422916318715E-3</v>
      </c>
      <c r="AL27" s="3">
        <f t="shared" si="10"/>
        <v>8.4582093970706406E-4</v>
      </c>
      <c r="AM27" s="3">
        <f t="shared" si="11"/>
        <v>1.7368003175863439E-3</v>
      </c>
      <c r="AN27" s="3">
        <f t="shared" si="12"/>
        <v>9.0946377302637445E-3</v>
      </c>
      <c r="AO27" s="3">
        <f t="shared" si="13"/>
        <v>0.13907936559157133</v>
      </c>
      <c r="AP27" s="3">
        <f t="shared" si="14"/>
        <v>9.9156006157439358E-2</v>
      </c>
      <c r="AQ27" s="6">
        <f t="shared" si="15"/>
        <v>1.2068445039023167E-2</v>
      </c>
      <c r="AR27" s="6">
        <f t="shared" si="23"/>
        <v>1.7950945214489842</v>
      </c>
      <c r="AS27" s="8">
        <f t="shared" si="24"/>
        <v>-28.152435501069732</v>
      </c>
      <c r="AT27" s="4">
        <f t="shared" si="25"/>
        <v>5.9368026132557085E-13</v>
      </c>
      <c r="AU27" s="4">
        <f t="shared" si="26"/>
        <v>5.9368026132557087E-9</v>
      </c>
      <c r="AV27" s="3">
        <f t="shared" si="17"/>
        <v>-8.2264473902517938</v>
      </c>
    </row>
    <row r="28" spans="1:48">
      <c r="A28" s="2" t="s">
        <v>438</v>
      </c>
      <c r="C28" s="2">
        <v>1400</v>
      </c>
      <c r="D28" s="3">
        <f t="shared" si="18"/>
        <v>5.9767504407853451</v>
      </c>
      <c r="E28" s="2">
        <v>1</v>
      </c>
      <c r="F28" s="2">
        <v>7200</v>
      </c>
      <c r="G28" s="2">
        <v>3.91</v>
      </c>
      <c r="I28" s="2">
        <v>11538</v>
      </c>
      <c r="J28" s="2">
        <f>1.02 * 10^(-8)</f>
        <v>1.02E-8</v>
      </c>
      <c r="L28" s="3">
        <f t="shared" si="19"/>
        <v>-7.991399828238082</v>
      </c>
      <c r="M28" s="3"/>
      <c r="N28" s="3"/>
      <c r="O28" s="3"/>
      <c r="P28" s="3"/>
      <c r="R28" s="2">
        <v>76.37</v>
      </c>
      <c r="S28" s="2">
        <v>0.11</v>
      </c>
      <c r="T28" s="2">
        <v>13.35</v>
      </c>
      <c r="V28" s="2">
        <v>0.79</v>
      </c>
      <c r="W28" s="2">
        <v>0.06</v>
      </c>
      <c r="X28" s="2">
        <v>7.0000000000000007E-2</v>
      </c>
      <c r="Y28" s="2">
        <v>0.51</v>
      </c>
      <c r="Z28" s="2">
        <v>4.3099999999999996</v>
      </c>
      <c r="AA28" s="2">
        <v>4.67</v>
      </c>
      <c r="AB28" s="2">
        <v>0</v>
      </c>
      <c r="AC28" s="2">
        <v>0</v>
      </c>
      <c r="AD28" s="2">
        <v>1.37</v>
      </c>
      <c r="AE28" s="2">
        <v>1.5</v>
      </c>
      <c r="AF28" s="2">
        <v>12.12</v>
      </c>
      <c r="AG28" s="3">
        <f t="shared" si="20"/>
        <v>1.2710538579322281</v>
      </c>
      <c r="AH28" s="3">
        <f t="shared" si="21"/>
        <v>1.3773242346459651E-3</v>
      </c>
      <c r="AI28" s="3">
        <f t="shared" si="22"/>
        <v>0.2618648306705505</v>
      </c>
      <c r="AJ28" s="3">
        <f t="shared" si="8"/>
        <v>9.894355833599479E-4</v>
      </c>
      <c r="AK28" s="3">
        <f t="shared" si="9"/>
        <v>9.8964422916318715E-3</v>
      </c>
      <c r="AL28" s="3">
        <f t="shared" si="10"/>
        <v>8.4582093970706406E-4</v>
      </c>
      <c r="AM28" s="3">
        <f t="shared" si="11"/>
        <v>1.7368003175863439E-3</v>
      </c>
      <c r="AN28" s="3">
        <f t="shared" si="12"/>
        <v>9.0946377302637445E-3</v>
      </c>
      <c r="AO28" s="3">
        <f t="shared" si="13"/>
        <v>0.13907936559157133</v>
      </c>
      <c r="AP28" s="3">
        <f t="shared" si="14"/>
        <v>9.9156006157439358E-2</v>
      </c>
      <c r="AQ28" s="6">
        <f t="shared" si="15"/>
        <v>1.2068445039023167E-2</v>
      </c>
      <c r="AR28" s="6">
        <f t="shared" si="23"/>
        <v>1.7950945214489842</v>
      </c>
      <c r="AS28" s="8">
        <f t="shared" si="24"/>
        <v>-28.0345884915913</v>
      </c>
      <c r="AT28" s="4">
        <f t="shared" si="25"/>
        <v>6.6793302285283239E-13</v>
      </c>
      <c r="AU28" s="4">
        <f t="shared" si="26"/>
        <v>6.6793302285283236E-9</v>
      </c>
      <c r="AV28" s="3">
        <f t="shared" si="17"/>
        <v>-8.1752670843265101</v>
      </c>
    </row>
    <row r="29" spans="1:48">
      <c r="A29" s="2" t="s">
        <v>439</v>
      </c>
      <c r="C29" s="2">
        <v>1200</v>
      </c>
      <c r="D29" s="3">
        <f t="shared" si="18"/>
        <v>6.7881749991514777</v>
      </c>
      <c r="E29" s="2">
        <v>1</v>
      </c>
      <c r="F29" s="2">
        <v>21600</v>
      </c>
      <c r="G29" s="2">
        <v>0.41</v>
      </c>
      <c r="I29" s="2">
        <v>925</v>
      </c>
      <c r="J29" s="2">
        <f>6.39 * 10^(-11)</f>
        <v>6.3899999999999994E-11</v>
      </c>
      <c r="L29" s="3">
        <f t="shared" si="19"/>
        <v>-10.1944991418416</v>
      </c>
      <c r="M29" s="3"/>
      <c r="N29" s="3"/>
      <c r="O29" s="3"/>
      <c r="P29" s="3"/>
      <c r="R29" s="2">
        <v>76.37</v>
      </c>
      <c r="S29" s="2">
        <v>0.11</v>
      </c>
      <c r="T29" s="2">
        <v>13.35</v>
      </c>
      <c r="V29" s="2">
        <v>0.79</v>
      </c>
      <c r="W29" s="2">
        <v>0.06</v>
      </c>
      <c r="X29" s="2">
        <v>7.0000000000000007E-2</v>
      </c>
      <c r="Y29" s="2">
        <v>0.51</v>
      </c>
      <c r="Z29" s="2">
        <v>4.3099999999999996</v>
      </c>
      <c r="AA29" s="2">
        <v>4.67</v>
      </c>
      <c r="AB29" s="2">
        <v>0</v>
      </c>
      <c r="AC29" s="2">
        <v>0</v>
      </c>
      <c r="AD29" s="2">
        <v>1.37</v>
      </c>
      <c r="AE29" s="2">
        <v>1.5</v>
      </c>
      <c r="AF29" s="2">
        <v>12.12</v>
      </c>
      <c r="AG29" s="3">
        <f t="shared" si="20"/>
        <v>1.2710538579322281</v>
      </c>
      <c r="AH29" s="3">
        <f t="shared" si="21"/>
        <v>1.3773242346459651E-3</v>
      </c>
      <c r="AI29" s="3">
        <f t="shared" si="22"/>
        <v>0.2618648306705505</v>
      </c>
      <c r="AJ29" s="3">
        <f t="shared" si="8"/>
        <v>9.894355833599479E-4</v>
      </c>
      <c r="AK29" s="3">
        <f t="shared" si="9"/>
        <v>9.8964422916318715E-3</v>
      </c>
      <c r="AL29" s="3">
        <f t="shared" si="10"/>
        <v>8.4582093970706406E-4</v>
      </c>
      <c r="AM29" s="3">
        <f t="shared" si="11"/>
        <v>1.7368003175863439E-3</v>
      </c>
      <c r="AN29" s="3">
        <f t="shared" si="12"/>
        <v>9.0946377302637445E-3</v>
      </c>
      <c r="AO29" s="3">
        <f t="shared" si="13"/>
        <v>0.13907936559157133</v>
      </c>
      <c r="AP29" s="3">
        <f t="shared" si="14"/>
        <v>9.9156006157439358E-2</v>
      </c>
      <c r="AQ29" s="6">
        <f t="shared" si="15"/>
        <v>1.2068445039023167E-2</v>
      </c>
      <c r="AR29" s="6">
        <f t="shared" si="23"/>
        <v>1.7950945214489842</v>
      </c>
      <c r="AS29" s="8">
        <f t="shared" si="24"/>
        <v>-31.244451512832317</v>
      </c>
      <c r="AT29" s="4">
        <f t="shared" si="25"/>
        <v>2.6959207280738311E-14</v>
      </c>
      <c r="AU29" s="4">
        <f t="shared" si="26"/>
        <v>2.6959207280738313E-10</v>
      </c>
      <c r="AV29" s="3">
        <f t="shared" si="17"/>
        <v>-9.569292882116784</v>
      </c>
    </row>
    <row r="30" spans="1:48">
      <c r="A30" s="2" t="s">
        <v>440</v>
      </c>
      <c r="C30" s="2">
        <v>1200</v>
      </c>
      <c r="D30" s="3">
        <f t="shared" si="18"/>
        <v>6.7881749991514777</v>
      </c>
      <c r="E30" s="2">
        <v>1</v>
      </c>
      <c r="F30" s="2">
        <v>72000</v>
      </c>
      <c r="G30" s="2">
        <v>0.56000000000000005</v>
      </c>
      <c r="I30" s="2">
        <v>1500</v>
      </c>
      <c r="J30" s="2">
        <f>3.6 * 10^(-11)</f>
        <v>3.5999999999999998E-11</v>
      </c>
      <c r="L30" s="3">
        <f t="shared" si="19"/>
        <v>-10.443697499232712</v>
      </c>
      <c r="M30" s="3"/>
      <c r="N30" s="3"/>
      <c r="O30" s="3"/>
      <c r="P30" s="3"/>
      <c r="R30" s="2">
        <v>76.37</v>
      </c>
      <c r="S30" s="2">
        <v>0.11</v>
      </c>
      <c r="T30" s="2">
        <v>13.35</v>
      </c>
      <c r="V30" s="2">
        <v>0.79</v>
      </c>
      <c r="W30" s="2">
        <v>0.06</v>
      </c>
      <c r="X30" s="2">
        <v>7.0000000000000007E-2</v>
      </c>
      <c r="Y30" s="2">
        <v>0.51</v>
      </c>
      <c r="Z30" s="2">
        <v>4.3099999999999996</v>
      </c>
      <c r="AA30" s="2">
        <v>4.67</v>
      </c>
      <c r="AB30" s="2">
        <v>0</v>
      </c>
      <c r="AC30" s="2">
        <v>0</v>
      </c>
      <c r="AD30" s="2">
        <v>1.37</v>
      </c>
      <c r="AE30" s="2">
        <v>1.5</v>
      </c>
      <c r="AF30" s="2">
        <v>12.12</v>
      </c>
      <c r="AG30" s="3">
        <f t="shared" si="20"/>
        <v>1.2710538579322281</v>
      </c>
      <c r="AH30" s="3">
        <f t="shared" si="21"/>
        <v>1.3773242346459651E-3</v>
      </c>
      <c r="AI30" s="3">
        <f t="shared" si="22"/>
        <v>0.2618648306705505</v>
      </c>
      <c r="AJ30" s="3">
        <f t="shared" si="8"/>
        <v>9.894355833599479E-4</v>
      </c>
      <c r="AK30" s="3">
        <f t="shared" si="9"/>
        <v>9.8964422916318715E-3</v>
      </c>
      <c r="AL30" s="3">
        <f t="shared" si="10"/>
        <v>8.4582093970706406E-4</v>
      </c>
      <c r="AM30" s="3">
        <f t="shared" si="11"/>
        <v>1.7368003175863439E-3</v>
      </c>
      <c r="AN30" s="3">
        <f t="shared" si="12"/>
        <v>9.0946377302637445E-3</v>
      </c>
      <c r="AO30" s="3">
        <f t="shared" si="13"/>
        <v>0.13907936559157133</v>
      </c>
      <c r="AP30" s="3">
        <f t="shared" si="14"/>
        <v>9.9156006157439358E-2</v>
      </c>
      <c r="AQ30" s="6">
        <f t="shared" si="15"/>
        <v>1.2068445039023167E-2</v>
      </c>
      <c r="AR30" s="6">
        <f t="shared" si="23"/>
        <v>1.7950945214489842</v>
      </c>
      <c r="AS30" s="8">
        <f t="shared" si="24"/>
        <v>-31.1966756981789</v>
      </c>
      <c r="AT30" s="4">
        <f t="shared" si="25"/>
        <v>2.8278468840744661E-14</v>
      </c>
      <c r="AU30" s="4">
        <f t="shared" si="26"/>
        <v>2.8278468840744663E-10</v>
      </c>
      <c r="AV30" s="3">
        <f t="shared" si="17"/>
        <v>-9.5485441094443733</v>
      </c>
    </row>
    <row r="31" spans="1:48">
      <c r="A31" s="2" t="s">
        <v>441</v>
      </c>
      <c r="C31" s="2">
        <v>1200</v>
      </c>
      <c r="D31" s="3">
        <f t="shared" si="18"/>
        <v>6.7881749991514777</v>
      </c>
      <c r="E31" s="2">
        <v>1</v>
      </c>
      <c r="F31" s="2">
        <v>28800</v>
      </c>
      <c r="G31" s="2">
        <v>1.78</v>
      </c>
      <c r="I31" s="2">
        <v>2742</v>
      </c>
      <c r="J31" s="2">
        <f>5.84 * 10^(-10)</f>
        <v>5.8400000000000005E-10</v>
      </c>
      <c r="L31" s="3">
        <f t="shared" si="19"/>
        <v>-9.2335871528876012</v>
      </c>
      <c r="M31" s="3"/>
      <c r="N31" s="3"/>
      <c r="O31" s="3"/>
      <c r="P31" s="3"/>
      <c r="R31" s="2">
        <v>76.37</v>
      </c>
      <c r="S31" s="2">
        <v>0.11</v>
      </c>
      <c r="T31" s="2">
        <v>13.35</v>
      </c>
      <c r="V31" s="2">
        <v>0.79</v>
      </c>
      <c r="W31" s="2">
        <v>0.06</v>
      </c>
      <c r="X31" s="2">
        <v>7.0000000000000007E-2</v>
      </c>
      <c r="Y31" s="2">
        <v>0.51</v>
      </c>
      <c r="Z31" s="2">
        <v>4.3099999999999996</v>
      </c>
      <c r="AA31" s="2">
        <v>4.67</v>
      </c>
      <c r="AB31" s="2">
        <v>0</v>
      </c>
      <c r="AC31" s="2">
        <v>0</v>
      </c>
      <c r="AD31" s="2">
        <v>1.37</v>
      </c>
      <c r="AE31" s="2">
        <v>1.5</v>
      </c>
      <c r="AF31" s="2">
        <v>12.12</v>
      </c>
      <c r="AG31" s="3">
        <f t="shared" si="20"/>
        <v>1.2710538579322281</v>
      </c>
      <c r="AH31" s="3">
        <f t="shared" si="21"/>
        <v>1.3773242346459651E-3</v>
      </c>
      <c r="AI31" s="3">
        <f t="shared" si="22"/>
        <v>0.2618648306705505</v>
      </c>
      <c r="AJ31" s="3">
        <f t="shared" si="8"/>
        <v>9.894355833599479E-4</v>
      </c>
      <c r="AK31" s="3">
        <f t="shared" si="9"/>
        <v>9.8964422916318715E-3</v>
      </c>
      <c r="AL31" s="3">
        <f t="shared" si="10"/>
        <v>8.4582093970706406E-4</v>
      </c>
      <c r="AM31" s="3">
        <f t="shared" si="11"/>
        <v>1.7368003175863439E-3</v>
      </c>
      <c r="AN31" s="3">
        <f t="shared" si="12"/>
        <v>9.0946377302637445E-3</v>
      </c>
      <c r="AO31" s="3">
        <f t="shared" si="13"/>
        <v>0.13907936559157133</v>
      </c>
      <c r="AP31" s="3">
        <f t="shared" si="14"/>
        <v>9.9156006157439358E-2</v>
      </c>
      <c r="AQ31" s="6">
        <f t="shared" si="15"/>
        <v>1.2068445039023167E-2</v>
      </c>
      <c r="AR31" s="6">
        <f t="shared" si="23"/>
        <v>1.7950945214489842</v>
      </c>
      <c r="AS31" s="8">
        <f t="shared" si="24"/>
        <v>-30.8080990723311</v>
      </c>
      <c r="AT31" s="4">
        <f t="shared" si="25"/>
        <v>4.1707347927720958E-14</v>
      </c>
      <c r="AU31" s="4">
        <f t="shared" si="26"/>
        <v>4.1707347927720956E-10</v>
      </c>
      <c r="AV31" s="3">
        <f t="shared" si="17"/>
        <v>-9.379787425042089</v>
      </c>
    </row>
    <row r="32" spans="1:48">
      <c r="A32" s="2" t="s">
        <v>442</v>
      </c>
      <c r="C32" s="2">
        <v>1200</v>
      </c>
      <c r="D32" s="3">
        <f t="shared" si="18"/>
        <v>6.7881749991514777</v>
      </c>
      <c r="E32" s="2">
        <v>1</v>
      </c>
      <c r="F32" s="2">
        <v>21600</v>
      </c>
      <c r="G32" s="2">
        <v>1.93</v>
      </c>
      <c r="I32" s="2">
        <v>2550</v>
      </c>
      <c r="J32" s="2">
        <f>4.98 * 10^(-10)</f>
        <v>4.9800000000000004E-10</v>
      </c>
      <c r="L32" s="3">
        <f t="shared" si="19"/>
        <v>-9.3027706572402824</v>
      </c>
      <c r="M32" s="3"/>
      <c r="N32" s="3"/>
      <c r="O32" s="3"/>
      <c r="P32" s="3"/>
      <c r="R32" s="2">
        <v>76.37</v>
      </c>
      <c r="S32" s="2">
        <v>0.11</v>
      </c>
      <c r="T32" s="2">
        <v>13.35</v>
      </c>
      <c r="V32" s="2">
        <v>0.79</v>
      </c>
      <c r="W32" s="2">
        <v>0.06</v>
      </c>
      <c r="X32" s="2">
        <v>7.0000000000000007E-2</v>
      </c>
      <c r="Y32" s="2">
        <v>0.51</v>
      </c>
      <c r="Z32" s="2">
        <v>4.3099999999999996</v>
      </c>
      <c r="AA32" s="2">
        <v>4.67</v>
      </c>
      <c r="AB32" s="2">
        <v>0</v>
      </c>
      <c r="AC32" s="2">
        <v>0</v>
      </c>
      <c r="AD32" s="2">
        <v>1.37</v>
      </c>
      <c r="AE32" s="2">
        <v>1.5</v>
      </c>
      <c r="AF32" s="2">
        <v>12.12</v>
      </c>
      <c r="AG32" s="3">
        <f t="shared" si="20"/>
        <v>1.2710538579322281</v>
      </c>
      <c r="AH32" s="3">
        <f t="shared" si="21"/>
        <v>1.3773242346459651E-3</v>
      </c>
      <c r="AI32" s="3">
        <f t="shared" si="22"/>
        <v>0.2618648306705505</v>
      </c>
      <c r="AJ32" s="3">
        <f t="shared" si="8"/>
        <v>9.894355833599479E-4</v>
      </c>
      <c r="AK32" s="3">
        <f t="shared" si="9"/>
        <v>9.8964422916318715E-3</v>
      </c>
      <c r="AL32" s="3">
        <f t="shared" si="10"/>
        <v>8.4582093970706406E-4</v>
      </c>
      <c r="AM32" s="3">
        <f t="shared" si="11"/>
        <v>1.7368003175863439E-3</v>
      </c>
      <c r="AN32" s="3">
        <f t="shared" si="12"/>
        <v>9.0946377302637445E-3</v>
      </c>
      <c r="AO32" s="3">
        <f t="shared" si="13"/>
        <v>0.13907936559157133</v>
      </c>
      <c r="AP32" s="3">
        <f t="shared" si="14"/>
        <v>9.9156006157439358E-2</v>
      </c>
      <c r="AQ32" s="6">
        <f t="shared" si="15"/>
        <v>1.2068445039023167E-2</v>
      </c>
      <c r="AR32" s="6">
        <f t="shared" si="23"/>
        <v>1.7950945214489842</v>
      </c>
      <c r="AS32" s="8">
        <f t="shared" si="24"/>
        <v>-30.760323257677683</v>
      </c>
      <c r="AT32" s="4">
        <f t="shared" si="25"/>
        <v>4.374831672616798E-14</v>
      </c>
      <c r="AU32" s="4">
        <f t="shared" si="26"/>
        <v>4.3748316726167982E-10</v>
      </c>
      <c r="AV32" s="3">
        <f t="shared" si="17"/>
        <v>-9.3590386523696765</v>
      </c>
    </row>
    <row r="33" spans="1:48">
      <c r="A33" s="2" t="s">
        <v>443</v>
      </c>
      <c r="C33" s="2">
        <v>1300</v>
      </c>
      <c r="D33" s="3">
        <f t="shared" si="18"/>
        <v>6.3566729173950351</v>
      </c>
      <c r="E33" s="2">
        <v>1</v>
      </c>
      <c r="F33" s="2">
        <v>18000</v>
      </c>
      <c r="G33" s="2">
        <v>0.63</v>
      </c>
      <c r="I33" s="2">
        <v>5100</v>
      </c>
      <c r="J33" s="2">
        <f>6.77 * 10^(-10)</f>
        <v>6.7699999999999994E-10</v>
      </c>
      <c r="L33" s="3">
        <f t="shared" si="19"/>
        <v>-9.1694113313148549</v>
      </c>
      <c r="M33" s="3"/>
      <c r="N33" s="3"/>
      <c r="O33" s="3"/>
      <c r="P33" s="3"/>
      <c r="R33" s="2">
        <v>76.37</v>
      </c>
      <c r="S33" s="2">
        <v>0.11</v>
      </c>
      <c r="T33" s="2">
        <v>13.35</v>
      </c>
      <c r="V33" s="2">
        <v>0.79</v>
      </c>
      <c r="W33" s="2">
        <v>0.06</v>
      </c>
      <c r="X33" s="2">
        <v>7.0000000000000007E-2</v>
      </c>
      <c r="Y33" s="2">
        <v>0.51</v>
      </c>
      <c r="Z33" s="2">
        <v>4.3099999999999996</v>
      </c>
      <c r="AA33" s="2">
        <v>4.67</v>
      </c>
      <c r="AB33" s="2">
        <v>0</v>
      </c>
      <c r="AC33" s="2">
        <v>0</v>
      </c>
      <c r="AD33" s="2">
        <v>1.37</v>
      </c>
      <c r="AE33" s="2">
        <v>1.5</v>
      </c>
      <c r="AF33" s="2">
        <v>12.12</v>
      </c>
      <c r="AG33" s="3">
        <f t="shared" si="20"/>
        <v>1.2710538579322281</v>
      </c>
      <c r="AH33" s="3">
        <f t="shared" si="21"/>
        <v>1.3773242346459651E-3</v>
      </c>
      <c r="AI33" s="3">
        <f t="shared" si="22"/>
        <v>0.2618648306705505</v>
      </c>
      <c r="AJ33" s="3">
        <f t="shared" si="8"/>
        <v>9.894355833599479E-4</v>
      </c>
      <c r="AK33" s="3">
        <f t="shared" si="9"/>
        <v>9.8964422916318715E-3</v>
      </c>
      <c r="AL33" s="3">
        <f t="shared" si="10"/>
        <v>8.4582093970706406E-4</v>
      </c>
      <c r="AM33" s="3">
        <f t="shared" si="11"/>
        <v>1.7368003175863439E-3</v>
      </c>
      <c r="AN33" s="3">
        <f t="shared" si="12"/>
        <v>9.0946377302637445E-3</v>
      </c>
      <c r="AO33" s="3">
        <f t="shared" si="13"/>
        <v>0.13907936559157133</v>
      </c>
      <c r="AP33" s="3">
        <f t="shared" si="14"/>
        <v>9.9156006157439358E-2</v>
      </c>
      <c r="AQ33" s="6">
        <f t="shared" si="15"/>
        <v>1.2068445039023167E-2</v>
      </c>
      <c r="AR33" s="6">
        <f t="shared" si="23"/>
        <v>1.7950945214489842</v>
      </c>
      <c r="AS33" s="8">
        <f t="shared" si="24"/>
        <v>-30.06024417482827</v>
      </c>
      <c r="AT33" s="4">
        <f t="shared" si="25"/>
        <v>8.8105258593992444E-14</v>
      </c>
      <c r="AU33" s="4">
        <f t="shared" si="26"/>
        <v>8.8105258593992441E-10</v>
      </c>
      <c r="AV33" s="3">
        <f t="shared" si="17"/>
        <v>-9.0549981697922881</v>
      </c>
    </row>
    <row r="34" spans="1:48">
      <c r="A34" s="2" t="s">
        <v>444</v>
      </c>
      <c r="C34" s="2">
        <v>1400</v>
      </c>
      <c r="D34" s="3">
        <f t="shared" si="18"/>
        <v>5.9767504407853451</v>
      </c>
      <c r="E34" s="2">
        <v>1</v>
      </c>
      <c r="F34" s="2">
        <v>12240</v>
      </c>
      <c r="G34" s="2">
        <v>1.43</v>
      </c>
      <c r="I34" s="2">
        <v>8330</v>
      </c>
      <c r="J34" s="2">
        <f>2.35 * 10^(-9)</f>
        <v>2.3500000000000004E-9</v>
      </c>
      <c r="L34" s="3">
        <f t="shared" si="19"/>
        <v>-8.6289321377282633</v>
      </c>
      <c r="M34" s="3"/>
      <c r="N34" s="3"/>
      <c r="O34" s="3"/>
      <c r="P34" s="3"/>
      <c r="R34" s="2">
        <v>76.37</v>
      </c>
      <c r="S34" s="2">
        <v>0.11</v>
      </c>
      <c r="T34" s="2">
        <v>13.35</v>
      </c>
      <c r="V34" s="2">
        <v>0.79</v>
      </c>
      <c r="W34" s="2">
        <v>0.06</v>
      </c>
      <c r="X34" s="2">
        <v>7.0000000000000007E-2</v>
      </c>
      <c r="Y34" s="2">
        <v>0.51</v>
      </c>
      <c r="Z34" s="2">
        <v>4.3099999999999996</v>
      </c>
      <c r="AA34" s="2">
        <v>4.67</v>
      </c>
      <c r="AB34" s="2">
        <v>0</v>
      </c>
      <c r="AC34" s="2">
        <v>0</v>
      </c>
      <c r="AD34" s="2">
        <v>1.37</v>
      </c>
      <c r="AE34" s="2">
        <v>1.5</v>
      </c>
      <c r="AF34" s="2">
        <v>12.12</v>
      </c>
      <c r="AG34" s="3">
        <f t="shared" si="20"/>
        <v>1.2710538579322281</v>
      </c>
      <c r="AH34" s="3">
        <f t="shared" si="21"/>
        <v>1.3773242346459651E-3</v>
      </c>
      <c r="AI34" s="3">
        <f t="shared" si="22"/>
        <v>0.2618648306705505</v>
      </c>
      <c r="AJ34" s="3">
        <f t="shared" si="8"/>
        <v>9.894355833599479E-4</v>
      </c>
      <c r="AK34" s="3">
        <f t="shared" si="9"/>
        <v>9.8964422916318715E-3</v>
      </c>
      <c r="AL34" s="3">
        <f t="shared" si="10"/>
        <v>8.4582093970706406E-4</v>
      </c>
      <c r="AM34" s="3">
        <f t="shared" si="11"/>
        <v>1.7368003175863439E-3</v>
      </c>
      <c r="AN34" s="3">
        <f t="shared" si="12"/>
        <v>9.0946377302637445E-3</v>
      </c>
      <c r="AO34" s="3">
        <f t="shared" si="13"/>
        <v>0.13907936559157133</v>
      </c>
      <c r="AP34" s="3">
        <f t="shared" si="14"/>
        <v>9.9156006157439358E-2</v>
      </c>
      <c r="AQ34" s="6">
        <f t="shared" si="15"/>
        <v>1.2068445039023167E-2</v>
      </c>
      <c r="AR34" s="6">
        <f t="shared" si="23"/>
        <v>1.7950945214489842</v>
      </c>
      <c r="AS34" s="8">
        <f t="shared" si="24"/>
        <v>-28.824481960527812</v>
      </c>
      <c r="AT34" s="4">
        <f t="shared" si="25"/>
        <v>3.0317022134480831E-13</v>
      </c>
      <c r="AU34" s="4">
        <f t="shared" si="26"/>
        <v>3.0317022134480833E-9</v>
      </c>
      <c r="AV34" s="3">
        <f t="shared" si="17"/>
        <v>-8.5183134591770546</v>
      </c>
    </row>
    <row r="35" spans="1:48">
      <c r="A35" s="2" t="s">
        <v>445</v>
      </c>
      <c r="C35" s="2">
        <v>1400</v>
      </c>
      <c r="D35" s="3">
        <f t="shared" si="18"/>
        <v>5.9767504407853451</v>
      </c>
      <c r="E35" s="2">
        <v>1</v>
      </c>
      <c r="F35" s="2">
        <v>12240</v>
      </c>
      <c r="G35" s="2">
        <v>1.59</v>
      </c>
      <c r="I35" s="2">
        <v>5200</v>
      </c>
      <c r="J35" s="2">
        <f>1.33 * 10^(-9)</f>
        <v>1.3300000000000002E-9</v>
      </c>
      <c r="L35" s="3">
        <f t="shared" si="19"/>
        <v>-8.8761483590329142</v>
      </c>
      <c r="M35" s="3"/>
      <c r="N35" s="3"/>
      <c r="O35" s="3"/>
      <c r="P35" s="3"/>
      <c r="R35" s="2">
        <v>76.37</v>
      </c>
      <c r="S35" s="2">
        <v>0.11</v>
      </c>
      <c r="T35" s="2">
        <v>13.35</v>
      </c>
      <c r="V35" s="2">
        <v>0.79</v>
      </c>
      <c r="W35" s="2">
        <v>0.06</v>
      </c>
      <c r="X35" s="2">
        <v>7.0000000000000007E-2</v>
      </c>
      <c r="Y35" s="2">
        <v>0.51</v>
      </c>
      <c r="Z35" s="2">
        <v>4.3099999999999996</v>
      </c>
      <c r="AA35" s="2">
        <v>4.67</v>
      </c>
      <c r="AB35" s="2">
        <v>0</v>
      </c>
      <c r="AC35" s="2">
        <v>0</v>
      </c>
      <c r="AD35" s="2">
        <v>1.37</v>
      </c>
      <c r="AE35" s="2">
        <v>1.5</v>
      </c>
      <c r="AF35" s="2">
        <v>12.12</v>
      </c>
      <c r="AG35" s="3">
        <f t="shared" si="20"/>
        <v>1.2710538579322281</v>
      </c>
      <c r="AH35" s="3">
        <f t="shared" si="21"/>
        <v>1.3773242346459651E-3</v>
      </c>
      <c r="AI35" s="3">
        <f t="shared" si="22"/>
        <v>0.2618648306705505</v>
      </c>
      <c r="AJ35" s="3">
        <f t="shared" si="8"/>
        <v>9.894355833599479E-4</v>
      </c>
      <c r="AK35" s="3">
        <f t="shared" si="9"/>
        <v>9.8964422916318715E-3</v>
      </c>
      <c r="AL35" s="3">
        <f t="shared" si="10"/>
        <v>8.4582093970706406E-4</v>
      </c>
      <c r="AM35" s="3">
        <f t="shared" si="11"/>
        <v>1.7368003175863439E-3</v>
      </c>
      <c r="AN35" s="3">
        <f t="shared" si="12"/>
        <v>9.0946377302637445E-3</v>
      </c>
      <c r="AO35" s="3">
        <f t="shared" si="13"/>
        <v>0.13907936559157133</v>
      </c>
      <c r="AP35" s="3">
        <f t="shared" si="14"/>
        <v>9.9156006157439358E-2</v>
      </c>
      <c r="AQ35" s="6">
        <f t="shared" si="15"/>
        <v>1.2068445039023167E-2</v>
      </c>
      <c r="AR35" s="6">
        <f t="shared" si="23"/>
        <v>1.7950945214489842</v>
      </c>
      <c r="AS35" s="8">
        <f t="shared" si="24"/>
        <v>-28.773521091564163</v>
      </c>
      <c r="AT35" s="4">
        <f t="shared" si="25"/>
        <v>3.1902048063660232E-13</v>
      </c>
      <c r="AU35" s="4">
        <f t="shared" si="26"/>
        <v>3.1902048063660232E-9</v>
      </c>
      <c r="AV35" s="3">
        <f t="shared" si="17"/>
        <v>-8.4961814349931473</v>
      </c>
    </row>
    <row r="36" spans="1:48">
      <c r="L36" s="3"/>
      <c r="M36" s="3"/>
      <c r="N36" s="3"/>
      <c r="O36" s="3"/>
      <c r="P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6"/>
      <c r="AR36" s="6"/>
      <c r="AV36" s="3"/>
    </row>
    <row r="37" spans="1:48">
      <c r="A37" s="2" t="s">
        <v>446</v>
      </c>
      <c r="L37" s="3"/>
      <c r="M37" s="3"/>
      <c r="N37" s="3"/>
      <c r="O37" s="3"/>
      <c r="P37" s="3"/>
      <c r="R37" s="1" t="s">
        <v>6</v>
      </c>
      <c r="S37" s="1" t="s">
        <v>12</v>
      </c>
      <c r="T37" s="1" t="s">
        <v>5</v>
      </c>
      <c r="U37" s="1"/>
      <c r="V37" s="1" t="s">
        <v>10</v>
      </c>
      <c r="W37" s="1" t="s">
        <v>9</v>
      </c>
      <c r="X37" s="1" t="s">
        <v>11</v>
      </c>
      <c r="Y37" s="1" t="s">
        <v>8</v>
      </c>
      <c r="Z37" s="1" t="s">
        <v>4</v>
      </c>
      <c r="AA37" s="1" t="s">
        <v>7</v>
      </c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6"/>
      <c r="AR37" s="6"/>
      <c r="AV37" s="3"/>
    </row>
    <row r="38" spans="1:48">
      <c r="A38" s="2" t="s">
        <v>447</v>
      </c>
      <c r="C38" s="2">
        <v>1050</v>
      </c>
      <c r="D38" s="3">
        <f t="shared" ref="D38:D49" si="27">10000/(C38+273.15)</f>
        <v>7.5577221025582881</v>
      </c>
      <c r="E38" s="2">
        <v>1</v>
      </c>
      <c r="F38" s="2">
        <v>154800</v>
      </c>
      <c r="G38" s="2">
        <v>3.69</v>
      </c>
      <c r="I38" s="2">
        <v>905</v>
      </c>
      <c r="J38" s="2">
        <f>4.46 * 10^(-10)</f>
        <v>4.4600000000000001E-10</v>
      </c>
      <c r="L38" s="3">
        <f t="shared" si="19"/>
        <v>-9.350665141287859</v>
      </c>
      <c r="M38" s="3"/>
      <c r="N38" s="3"/>
      <c r="O38" s="3"/>
      <c r="P38" s="3"/>
      <c r="R38" s="2">
        <v>75.72</v>
      </c>
      <c r="S38" s="2">
        <v>0</v>
      </c>
      <c r="T38" s="2">
        <v>13.27</v>
      </c>
      <c r="V38" s="2">
        <v>1.06</v>
      </c>
      <c r="W38" s="2">
        <v>0</v>
      </c>
      <c r="X38" s="2">
        <v>7.0000000000000007E-2</v>
      </c>
      <c r="Y38" s="2">
        <v>0.55000000000000004</v>
      </c>
      <c r="Z38" s="2">
        <v>4.03</v>
      </c>
      <c r="AA38" s="2">
        <v>4.74</v>
      </c>
      <c r="AB38" s="2">
        <v>0.11</v>
      </c>
      <c r="AC38" s="2">
        <v>0.35</v>
      </c>
      <c r="AD38" s="2">
        <v>1.34</v>
      </c>
      <c r="AE38" s="2">
        <v>1.53</v>
      </c>
      <c r="AF38" s="2">
        <v>12.07</v>
      </c>
      <c r="AG38" s="3">
        <f t="shared" ref="AG38:AG49" si="28">R38/(28.086+15.999*2)</f>
        <v>1.2602356700619133</v>
      </c>
      <c r="AH38" s="3">
        <f t="shared" ref="AH38:AH49" si="29">S38/(47.867+15.999*2)</f>
        <v>0</v>
      </c>
      <c r="AI38" s="3">
        <f t="shared" ref="AI38:AI49" si="30">T38/(26.982*2+15.999*3)*2</f>
        <v>0.26029560322083933</v>
      </c>
      <c r="AJ38" s="3">
        <f t="shared" si="8"/>
        <v>1.3275971118500568E-3</v>
      </c>
      <c r="AK38" s="3">
        <f t="shared" si="9"/>
        <v>1.3278770669784534E-2</v>
      </c>
      <c r="AL38" s="3">
        <f t="shared" si="10"/>
        <v>0</v>
      </c>
      <c r="AM38" s="3">
        <f t="shared" si="11"/>
        <v>1.7368003175863439E-3</v>
      </c>
      <c r="AN38" s="3">
        <f t="shared" si="12"/>
        <v>9.8079426502844305E-3</v>
      </c>
      <c r="AO38" s="3">
        <f t="shared" si="13"/>
        <v>0.13004404717726972</v>
      </c>
      <c r="AP38" s="3">
        <f t="shared" si="14"/>
        <v>0.10064228462232604</v>
      </c>
      <c r="AQ38" s="6">
        <f t="shared" si="15"/>
        <v>1.2294279782569873E-2</v>
      </c>
      <c r="AR38" s="6">
        <f t="shared" ref="AR38:AR49" si="31">SUM(AG38:AP38)</f>
        <v>1.7773687158318536</v>
      </c>
      <c r="AS38" s="8">
        <f t="shared" ref="AS38:AS49" si="32">-13.95+5.15*(G38/(1.007975*2+15.999)*2+4.1*(Y38/(40.078+15.999))-(X38/(24.3055+15.999)))/AR38-((36475*((R38/(28.085+15.999*2))+(T38/(26.982*2+15.999*3))*2-(1.8*(V38/(55.845+15.999))))/AR38)-11088*E38*(((R38/(28.085+15.999))+(T38/(26.982*2+15.999*3))*2)/AR38-2/3))/(C38+273.15)</f>
        <v>-32.084273687061803</v>
      </c>
      <c r="AT38" s="4">
        <f t="shared" ref="AT38:AT49" si="33">EXP(AS38)</f>
        <v>1.1640643308726918E-14</v>
      </c>
      <c r="AU38" s="4">
        <f t="shared" ref="AU38:AU49" si="34">AT38*10000</f>
        <v>1.1640643308726917E-10</v>
      </c>
      <c r="AV38" s="3">
        <f t="shared" si="17"/>
        <v>-9.9340230181646412</v>
      </c>
    </row>
    <row r="39" spans="1:48">
      <c r="A39" s="2" t="s">
        <v>448</v>
      </c>
      <c r="C39" s="2">
        <v>1050</v>
      </c>
      <c r="D39" s="3">
        <f t="shared" si="27"/>
        <v>7.5577221025582881</v>
      </c>
      <c r="E39" s="2">
        <v>1</v>
      </c>
      <c r="F39" s="2">
        <v>154800</v>
      </c>
      <c r="G39" s="2">
        <v>4.5199999999999996</v>
      </c>
      <c r="I39" s="2">
        <v>1088</v>
      </c>
      <c r="J39" s="2">
        <f>4.6 * 10^(-10)</f>
        <v>4.5999999999999996E-10</v>
      </c>
      <c r="L39" s="3">
        <f t="shared" si="19"/>
        <v>-9.3372421683184257</v>
      </c>
      <c r="M39" s="3"/>
      <c r="N39" s="3"/>
      <c r="O39" s="3"/>
      <c r="P39" s="3"/>
      <c r="R39" s="2">
        <v>75.72</v>
      </c>
      <c r="S39" s="2">
        <v>0</v>
      </c>
      <c r="T39" s="2">
        <v>13.27</v>
      </c>
      <c r="V39" s="2">
        <v>1.06</v>
      </c>
      <c r="W39" s="2">
        <v>0</v>
      </c>
      <c r="X39" s="2">
        <v>7.0000000000000007E-2</v>
      </c>
      <c r="Y39" s="2">
        <v>0.55000000000000004</v>
      </c>
      <c r="Z39" s="2">
        <v>4.03</v>
      </c>
      <c r="AA39" s="2">
        <v>4.74</v>
      </c>
      <c r="AB39" s="2">
        <v>0.11</v>
      </c>
      <c r="AC39" s="2">
        <v>0.35</v>
      </c>
      <c r="AD39" s="2">
        <v>1.34</v>
      </c>
      <c r="AE39" s="2">
        <v>1.53</v>
      </c>
      <c r="AF39" s="2">
        <v>12.07</v>
      </c>
      <c r="AG39" s="3">
        <f t="shared" si="28"/>
        <v>1.2602356700619133</v>
      </c>
      <c r="AH39" s="3">
        <f t="shared" si="29"/>
        <v>0</v>
      </c>
      <c r="AI39" s="3">
        <f t="shared" si="30"/>
        <v>0.26029560322083933</v>
      </c>
      <c r="AJ39" s="3">
        <f t="shared" si="8"/>
        <v>1.3275971118500568E-3</v>
      </c>
      <c r="AK39" s="3">
        <f t="shared" si="9"/>
        <v>1.3278770669784534E-2</v>
      </c>
      <c r="AL39" s="3">
        <f t="shared" si="10"/>
        <v>0</v>
      </c>
      <c r="AM39" s="3">
        <f t="shared" si="11"/>
        <v>1.7368003175863439E-3</v>
      </c>
      <c r="AN39" s="3">
        <f t="shared" si="12"/>
        <v>9.8079426502844305E-3</v>
      </c>
      <c r="AO39" s="3">
        <f t="shared" si="13"/>
        <v>0.13004404717726972</v>
      </c>
      <c r="AP39" s="3">
        <f t="shared" si="14"/>
        <v>0.10064228462232604</v>
      </c>
      <c r="AQ39" s="6">
        <f t="shared" si="15"/>
        <v>1.2294279782569873E-2</v>
      </c>
      <c r="AR39" s="6">
        <f t="shared" si="31"/>
        <v>1.7773687158318536</v>
      </c>
      <c r="AS39" s="8">
        <f t="shared" si="32"/>
        <v>-31.817277705965715</v>
      </c>
      <c r="AT39" s="4">
        <f t="shared" si="33"/>
        <v>1.5203089882625462E-14</v>
      </c>
      <c r="AU39" s="4">
        <f t="shared" si="34"/>
        <v>1.5203089882625461E-10</v>
      </c>
      <c r="AV39" s="3">
        <f t="shared" si="17"/>
        <v>-9.8180681368842659</v>
      </c>
    </row>
    <row r="40" spans="1:48">
      <c r="A40" s="2" t="s">
        <v>449</v>
      </c>
      <c r="C40" s="2">
        <v>1200</v>
      </c>
      <c r="D40" s="3">
        <f t="shared" si="27"/>
        <v>6.7881749991514777</v>
      </c>
      <c r="E40" s="2">
        <v>1</v>
      </c>
      <c r="F40" s="2">
        <v>72000</v>
      </c>
      <c r="G40" s="2">
        <v>3.54</v>
      </c>
      <c r="I40" s="2">
        <v>3067</v>
      </c>
      <c r="J40" s="2">
        <f>1.14 * 10^(-9)</f>
        <v>1.14E-9</v>
      </c>
      <c r="L40" s="3">
        <f t="shared" si="19"/>
        <v>-8.9430951486635273</v>
      </c>
      <c r="M40" s="3"/>
      <c r="N40" s="3"/>
      <c r="O40" s="3"/>
      <c r="P40" s="3"/>
      <c r="R40" s="2">
        <v>75.72</v>
      </c>
      <c r="S40" s="2">
        <v>0</v>
      </c>
      <c r="T40" s="2">
        <v>13.27</v>
      </c>
      <c r="V40" s="2">
        <v>1.06</v>
      </c>
      <c r="W40" s="2">
        <v>0</v>
      </c>
      <c r="X40" s="2">
        <v>7.0000000000000007E-2</v>
      </c>
      <c r="Y40" s="2">
        <v>0.55000000000000004</v>
      </c>
      <c r="Z40" s="2">
        <v>4.03</v>
      </c>
      <c r="AA40" s="2">
        <v>4.74</v>
      </c>
      <c r="AB40" s="2">
        <v>0.11</v>
      </c>
      <c r="AC40" s="2">
        <v>0.35</v>
      </c>
      <c r="AD40" s="2">
        <v>1.34</v>
      </c>
      <c r="AE40" s="2">
        <v>1.53</v>
      </c>
      <c r="AF40" s="2">
        <v>12.07</v>
      </c>
      <c r="AG40" s="3">
        <f t="shared" si="28"/>
        <v>1.2602356700619133</v>
      </c>
      <c r="AH40" s="3">
        <f t="shared" si="29"/>
        <v>0</v>
      </c>
      <c r="AI40" s="3">
        <f t="shared" si="30"/>
        <v>0.26029560322083933</v>
      </c>
      <c r="AJ40" s="3">
        <f t="shared" si="8"/>
        <v>1.3275971118500568E-3</v>
      </c>
      <c r="AK40" s="3">
        <f t="shared" si="9"/>
        <v>1.3278770669784534E-2</v>
      </c>
      <c r="AL40" s="3">
        <f t="shared" si="10"/>
        <v>0</v>
      </c>
      <c r="AM40" s="3">
        <f t="shared" si="11"/>
        <v>1.7368003175863439E-3</v>
      </c>
      <c r="AN40" s="3">
        <f t="shared" si="12"/>
        <v>9.8079426502844305E-3</v>
      </c>
      <c r="AO40" s="3">
        <f t="shared" si="13"/>
        <v>0.13004404717726972</v>
      </c>
      <c r="AP40" s="3">
        <f t="shared" si="14"/>
        <v>0.10064228462232604</v>
      </c>
      <c r="AQ40" s="6">
        <f t="shared" si="15"/>
        <v>1.2294279782569873E-2</v>
      </c>
      <c r="AR40" s="6">
        <f t="shared" si="31"/>
        <v>1.7773687158318536</v>
      </c>
      <c r="AS40" s="8">
        <f t="shared" si="32"/>
        <v>-30.153830818381714</v>
      </c>
      <c r="AT40" s="4">
        <f t="shared" si="33"/>
        <v>8.0233856489111876E-14</v>
      </c>
      <c r="AU40" s="4">
        <f t="shared" si="34"/>
        <v>8.0233856489111879E-10</v>
      </c>
      <c r="AV40" s="3">
        <f t="shared" si="17"/>
        <v>-9.0956423326673939</v>
      </c>
    </row>
    <row r="41" spans="1:48">
      <c r="A41" s="2" t="s">
        <v>450</v>
      </c>
      <c r="C41" s="2">
        <v>1200</v>
      </c>
      <c r="D41" s="3">
        <f t="shared" si="27"/>
        <v>6.7881749991514777</v>
      </c>
      <c r="E41" s="2">
        <v>1</v>
      </c>
      <c r="F41" s="2">
        <v>72000</v>
      </c>
      <c r="G41" s="2">
        <v>4.97</v>
      </c>
      <c r="I41" s="2">
        <v>3113</v>
      </c>
      <c r="J41" s="2">
        <f>1.48 * 10^(-9)</f>
        <v>1.4800000000000001E-9</v>
      </c>
      <c r="L41" s="3">
        <f t="shared" si="19"/>
        <v>-8.8297382846050425</v>
      </c>
      <c r="M41" s="3"/>
      <c r="N41" s="3"/>
      <c r="O41" s="3"/>
      <c r="P41" s="3"/>
      <c r="R41" s="2">
        <v>75.72</v>
      </c>
      <c r="S41" s="2">
        <v>0</v>
      </c>
      <c r="T41" s="2">
        <v>13.27</v>
      </c>
      <c r="V41" s="2">
        <v>1.06</v>
      </c>
      <c r="W41" s="2">
        <v>0</v>
      </c>
      <c r="X41" s="2">
        <v>7.0000000000000007E-2</v>
      </c>
      <c r="Y41" s="2">
        <v>0.55000000000000004</v>
      </c>
      <c r="Z41" s="2">
        <v>4.03</v>
      </c>
      <c r="AA41" s="2">
        <v>4.74</v>
      </c>
      <c r="AB41" s="2">
        <v>0.11</v>
      </c>
      <c r="AC41" s="2">
        <v>0.35</v>
      </c>
      <c r="AD41" s="2">
        <v>1.34</v>
      </c>
      <c r="AE41" s="2">
        <v>1.53</v>
      </c>
      <c r="AF41" s="2">
        <v>12.07</v>
      </c>
      <c r="AG41" s="3">
        <f t="shared" si="28"/>
        <v>1.2602356700619133</v>
      </c>
      <c r="AH41" s="3">
        <f t="shared" si="29"/>
        <v>0</v>
      </c>
      <c r="AI41" s="3">
        <f t="shared" si="30"/>
        <v>0.26029560322083933</v>
      </c>
      <c r="AJ41" s="3">
        <f t="shared" si="8"/>
        <v>1.3275971118500568E-3</v>
      </c>
      <c r="AK41" s="3">
        <f t="shared" si="9"/>
        <v>1.3278770669784534E-2</v>
      </c>
      <c r="AL41" s="3">
        <f t="shared" si="10"/>
        <v>0</v>
      </c>
      <c r="AM41" s="3">
        <f t="shared" si="11"/>
        <v>1.7368003175863439E-3</v>
      </c>
      <c r="AN41" s="3">
        <f t="shared" si="12"/>
        <v>9.8079426502844305E-3</v>
      </c>
      <c r="AO41" s="3">
        <f t="shared" si="13"/>
        <v>0.13004404717726972</v>
      </c>
      <c r="AP41" s="3">
        <f t="shared" si="14"/>
        <v>0.10064228462232604</v>
      </c>
      <c r="AQ41" s="6">
        <f t="shared" si="15"/>
        <v>1.2294279782569873E-2</v>
      </c>
      <c r="AR41" s="6">
        <f t="shared" si="31"/>
        <v>1.7773687158318536</v>
      </c>
      <c r="AS41" s="8">
        <f t="shared" si="32"/>
        <v>-29.693825694324595</v>
      </c>
      <c r="AT41" s="4">
        <f t="shared" si="33"/>
        <v>1.2709701603088408E-13</v>
      </c>
      <c r="AU41" s="4">
        <f t="shared" si="34"/>
        <v>1.2709701603088408E-9</v>
      </c>
      <c r="AV41" s="3">
        <f t="shared" si="17"/>
        <v>-8.8958646456421668</v>
      </c>
    </row>
    <row r="42" spans="1:48">
      <c r="A42" s="2" t="s">
        <v>451</v>
      </c>
      <c r="C42" s="2">
        <v>1400</v>
      </c>
      <c r="D42" s="3">
        <f t="shared" si="27"/>
        <v>5.9767504407853451</v>
      </c>
      <c r="E42" s="2">
        <v>1</v>
      </c>
      <c r="F42" s="2">
        <v>7200</v>
      </c>
      <c r="G42" s="2">
        <v>3.05</v>
      </c>
      <c r="I42" s="2">
        <v>10613</v>
      </c>
      <c r="J42" s="4">
        <f>7 * 10^(-9)</f>
        <v>7.0000000000000006E-9</v>
      </c>
      <c r="K42" s="4"/>
      <c r="L42" s="3">
        <f t="shared" si="19"/>
        <v>-8.1549019599857431</v>
      </c>
      <c r="M42" s="3"/>
      <c r="N42" s="3"/>
      <c r="O42" s="3"/>
      <c r="P42" s="3"/>
      <c r="R42" s="2">
        <v>75.72</v>
      </c>
      <c r="S42" s="2">
        <v>0</v>
      </c>
      <c r="T42" s="2">
        <v>13.27</v>
      </c>
      <c r="V42" s="2">
        <v>1.06</v>
      </c>
      <c r="W42" s="2">
        <v>0</v>
      </c>
      <c r="X42" s="2">
        <v>7.0000000000000007E-2</v>
      </c>
      <c r="Y42" s="2">
        <v>0.55000000000000004</v>
      </c>
      <c r="Z42" s="2">
        <v>4.03</v>
      </c>
      <c r="AA42" s="2">
        <v>4.74</v>
      </c>
      <c r="AB42" s="2">
        <v>0.11</v>
      </c>
      <c r="AC42" s="2">
        <v>0.35</v>
      </c>
      <c r="AD42" s="2">
        <v>1.34</v>
      </c>
      <c r="AE42" s="2">
        <v>1.53</v>
      </c>
      <c r="AF42" s="2">
        <v>12.07</v>
      </c>
      <c r="AG42" s="3">
        <f t="shared" si="28"/>
        <v>1.2602356700619133</v>
      </c>
      <c r="AH42" s="3">
        <f t="shared" si="29"/>
        <v>0</v>
      </c>
      <c r="AI42" s="3">
        <f t="shared" si="30"/>
        <v>0.26029560322083933</v>
      </c>
      <c r="AJ42" s="3">
        <f t="shared" si="8"/>
        <v>1.3275971118500568E-3</v>
      </c>
      <c r="AK42" s="3">
        <f t="shared" si="9"/>
        <v>1.3278770669784534E-2</v>
      </c>
      <c r="AL42" s="3">
        <f t="shared" si="10"/>
        <v>0</v>
      </c>
      <c r="AM42" s="3">
        <f t="shared" si="11"/>
        <v>1.7368003175863439E-3</v>
      </c>
      <c r="AN42" s="3">
        <f t="shared" si="12"/>
        <v>9.8079426502844305E-3</v>
      </c>
      <c r="AO42" s="3">
        <f t="shared" si="13"/>
        <v>0.13004404717726972</v>
      </c>
      <c r="AP42" s="3">
        <f t="shared" si="14"/>
        <v>0.10064228462232604</v>
      </c>
      <c r="AQ42" s="6">
        <f t="shared" si="15"/>
        <v>1.2294279782569873E-2</v>
      </c>
      <c r="AR42" s="6">
        <f t="shared" si="31"/>
        <v>1.7773687158318536</v>
      </c>
      <c r="AS42" s="8">
        <f t="shared" si="32"/>
        <v>-28.225082545602969</v>
      </c>
      <c r="AT42" s="4">
        <f t="shared" si="33"/>
        <v>5.5208048914054027E-13</v>
      </c>
      <c r="AU42" s="4">
        <f t="shared" si="34"/>
        <v>5.5208048914054025E-9</v>
      </c>
      <c r="AV42" s="3">
        <f t="shared" si="17"/>
        <v>-8.2579976008191576</v>
      </c>
    </row>
    <row r="43" spans="1:48">
      <c r="A43" s="2" t="s">
        <v>452</v>
      </c>
      <c r="C43" s="2">
        <v>1400</v>
      </c>
      <c r="D43" s="3">
        <f t="shared" si="27"/>
        <v>5.9767504407853451</v>
      </c>
      <c r="E43" s="2">
        <v>1</v>
      </c>
      <c r="F43" s="2">
        <v>7200</v>
      </c>
      <c r="G43" s="2">
        <v>3.93</v>
      </c>
      <c r="I43" s="2">
        <v>9750</v>
      </c>
      <c r="J43" s="2">
        <f>3.12 * 10^(-8)</f>
        <v>3.1200000000000001E-8</v>
      </c>
      <c r="L43" s="3">
        <f t="shared" si="19"/>
        <v>-7.5058454059815576</v>
      </c>
      <c r="M43" s="3"/>
      <c r="N43" s="3"/>
      <c r="O43" s="3"/>
      <c r="P43" s="3"/>
      <c r="R43" s="2">
        <v>75.72</v>
      </c>
      <c r="S43" s="2">
        <v>0</v>
      </c>
      <c r="T43" s="2">
        <v>13.27</v>
      </c>
      <c r="V43" s="2">
        <v>1.06</v>
      </c>
      <c r="W43" s="2">
        <v>0</v>
      </c>
      <c r="X43" s="2">
        <v>7.0000000000000007E-2</v>
      </c>
      <c r="Y43" s="2">
        <v>0.55000000000000004</v>
      </c>
      <c r="Z43" s="2">
        <v>4.03</v>
      </c>
      <c r="AA43" s="2">
        <v>4.74</v>
      </c>
      <c r="AB43" s="2">
        <v>0.11</v>
      </c>
      <c r="AC43" s="2">
        <v>0.35</v>
      </c>
      <c r="AD43" s="2">
        <v>1.34</v>
      </c>
      <c r="AE43" s="2">
        <v>1.53</v>
      </c>
      <c r="AF43" s="2">
        <v>12.07</v>
      </c>
      <c r="AG43" s="3">
        <f t="shared" si="28"/>
        <v>1.2602356700619133</v>
      </c>
      <c r="AH43" s="3">
        <f t="shared" si="29"/>
        <v>0</v>
      </c>
      <c r="AI43" s="3">
        <f t="shared" si="30"/>
        <v>0.26029560322083933</v>
      </c>
      <c r="AJ43" s="3">
        <f t="shared" si="8"/>
        <v>1.3275971118500568E-3</v>
      </c>
      <c r="AK43" s="3">
        <f t="shared" si="9"/>
        <v>1.3278770669784534E-2</v>
      </c>
      <c r="AL43" s="3">
        <f t="shared" si="10"/>
        <v>0</v>
      </c>
      <c r="AM43" s="3">
        <f t="shared" si="11"/>
        <v>1.7368003175863439E-3</v>
      </c>
      <c r="AN43" s="3">
        <f t="shared" si="12"/>
        <v>9.8079426502844305E-3</v>
      </c>
      <c r="AO43" s="3">
        <f t="shared" si="13"/>
        <v>0.13004404717726972</v>
      </c>
      <c r="AP43" s="3">
        <f t="shared" si="14"/>
        <v>0.10064228462232604</v>
      </c>
      <c r="AQ43" s="6">
        <f t="shared" si="15"/>
        <v>1.2294279782569873E-2</v>
      </c>
      <c r="AR43" s="6">
        <f t="shared" si="31"/>
        <v>1.7773687158318536</v>
      </c>
      <c r="AS43" s="8">
        <f t="shared" si="32"/>
        <v>-27.942002469260128</v>
      </c>
      <c r="AT43" s="4">
        <f t="shared" si="33"/>
        <v>7.3272753866940513E-13</v>
      </c>
      <c r="AU43" s="4">
        <f t="shared" si="34"/>
        <v>7.3272753866940514E-9</v>
      </c>
      <c r="AV43" s="3">
        <f t="shared" si="17"/>
        <v>-8.1350574857267102</v>
      </c>
    </row>
    <row r="44" spans="1:48">
      <c r="A44" s="2" t="s">
        <v>453</v>
      </c>
      <c r="C44" s="2">
        <v>1200</v>
      </c>
      <c r="D44" s="3">
        <f t="shared" si="27"/>
        <v>6.7881749991514777</v>
      </c>
      <c r="E44" s="2">
        <v>1</v>
      </c>
      <c r="F44" s="2">
        <v>72000</v>
      </c>
      <c r="G44" s="2">
        <v>0.51</v>
      </c>
      <c r="I44" s="2">
        <v>1538</v>
      </c>
      <c r="J44" s="2">
        <f>1.06 * 10^(-10)</f>
        <v>1.0600000000000001E-10</v>
      </c>
      <c r="L44" s="3">
        <f t="shared" si="19"/>
        <v>-9.9746941347352305</v>
      </c>
      <c r="M44" s="3"/>
      <c r="N44" s="3"/>
      <c r="O44" s="3"/>
      <c r="P44" s="3"/>
      <c r="R44" s="2">
        <v>75.72</v>
      </c>
      <c r="S44" s="2">
        <v>0</v>
      </c>
      <c r="T44" s="2">
        <v>13.27</v>
      </c>
      <c r="V44" s="2">
        <v>1.06</v>
      </c>
      <c r="W44" s="2">
        <v>0</v>
      </c>
      <c r="X44" s="2">
        <v>7.0000000000000007E-2</v>
      </c>
      <c r="Y44" s="2">
        <v>0.55000000000000004</v>
      </c>
      <c r="Z44" s="2">
        <v>4.03</v>
      </c>
      <c r="AA44" s="2">
        <v>4.74</v>
      </c>
      <c r="AB44" s="2">
        <v>0.11</v>
      </c>
      <c r="AC44" s="2">
        <v>0.35</v>
      </c>
      <c r="AD44" s="2">
        <v>1.34</v>
      </c>
      <c r="AE44" s="2">
        <v>1.53</v>
      </c>
      <c r="AF44" s="2">
        <v>12.07</v>
      </c>
      <c r="AG44" s="3">
        <f t="shared" si="28"/>
        <v>1.2602356700619133</v>
      </c>
      <c r="AH44" s="3">
        <f t="shared" si="29"/>
        <v>0</v>
      </c>
      <c r="AI44" s="3">
        <f t="shared" si="30"/>
        <v>0.26029560322083933</v>
      </c>
      <c r="AJ44" s="3">
        <f t="shared" si="8"/>
        <v>1.3275971118500568E-3</v>
      </c>
      <c r="AK44" s="3">
        <f t="shared" si="9"/>
        <v>1.3278770669784534E-2</v>
      </c>
      <c r="AL44" s="3">
        <f t="shared" si="10"/>
        <v>0</v>
      </c>
      <c r="AM44" s="3">
        <f t="shared" si="11"/>
        <v>1.7368003175863439E-3</v>
      </c>
      <c r="AN44" s="3">
        <f t="shared" si="12"/>
        <v>9.8079426502844305E-3</v>
      </c>
      <c r="AO44" s="3">
        <f t="shared" si="13"/>
        <v>0.13004404717726972</v>
      </c>
      <c r="AP44" s="3">
        <f t="shared" si="14"/>
        <v>0.10064228462232604</v>
      </c>
      <c r="AQ44" s="6">
        <f t="shared" si="15"/>
        <v>1.2294279782569873E-2</v>
      </c>
      <c r="AR44" s="6">
        <f t="shared" si="31"/>
        <v>1.7773687158318536</v>
      </c>
      <c r="AS44" s="8">
        <f t="shared" si="32"/>
        <v>-31.128526990334908</v>
      </c>
      <c r="AT44" s="4">
        <f t="shared" si="33"/>
        <v>3.0272793491172727E-14</v>
      </c>
      <c r="AU44" s="4">
        <f t="shared" si="34"/>
        <v>3.0272793491172727E-10</v>
      </c>
      <c r="AV44" s="3">
        <f t="shared" si="17"/>
        <v>-9.5189475016788894</v>
      </c>
    </row>
    <row r="45" spans="1:48">
      <c r="A45" s="2" t="s">
        <v>454</v>
      </c>
      <c r="C45" s="2">
        <v>1200</v>
      </c>
      <c r="D45" s="3">
        <f t="shared" si="27"/>
        <v>6.7881749991514777</v>
      </c>
      <c r="E45" s="2">
        <v>1</v>
      </c>
      <c r="F45" s="2">
        <v>21600</v>
      </c>
      <c r="G45" s="2">
        <v>0.91</v>
      </c>
      <c r="I45" s="2">
        <v>1617</v>
      </c>
      <c r="J45" s="2">
        <f>9.97 * 10^(-11)</f>
        <v>9.9700000000000002E-11</v>
      </c>
      <c r="L45" s="3">
        <f t="shared" si="19"/>
        <v>-10.001304841688345</v>
      </c>
      <c r="M45" s="3"/>
      <c r="N45" s="3"/>
      <c r="O45" s="3"/>
      <c r="P45" s="3"/>
      <c r="R45" s="2">
        <v>75.72</v>
      </c>
      <c r="S45" s="2">
        <v>0</v>
      </c>
      <c r="T45" s="2">
        <v>13.27</v>
      </c>
      <c r="V45" s="2">
        <v>1.06</v>
      </c>
      <c r="W45" s="2">
        <v>0</v>
      </c>
      <c r="X45" s="2">
        <v>7.0000000000000007E-2</v>
      </c>
      <c r="Y45" s="2">
        <v>0.55000000000000004</v>
      </c>
      <c r="Z45" s="2">
        <v>4.03</v>
      </c>
      <c r="AA45" s="2">
        <v>4.74</v>
      </c>
      <c r="AB45" s="2">
        <v>0.11</v>
      </c>
      <c r="AC45" s="2">
        <v>0.35</v>
      </c>
      <c r="AD45" s="2">
        <v>1.34</v>
      </c>
      <c r="AE45" s="2">
        <v>1.53</v>
      </c>
      <c r="AF45" s="2">
        <v>12.07</v>
      </c>
      <c r="AG45" s="3">
        <f t="shared" si="28"/>
        <v>1.2602356700619133</v>
      </c>
      <c r="AH45" s="3">
        <f t="shared" si="29"/>
        <v>0</v>
      </c>
      <c r="AI45" s="3">
        <f t="shared" si="30"/>
        <v>0.26029560322083933</v>
      </c>
      <c r="AJ45" s="3">
        <f t="shared" si="8"/>
        <v>1.3275971118500568E-3</v>
      </c>
      <c r="AK45" s="3">
        <f t="shared" si="9"/>
        <v>1.3278770669784534E-2</v>
      </c>
      <c r="AL45" s="3">
        <f t="shared" si="10"/>
        <v>0</v>
      </c>
      <c r="AM45" s="3">
        <f t="shared" si="11"/>
        <v>1.7368003175863439E-3</v>
      </c>
      <c r="AN45" s="3">
        <f t="shared" si="12"/>
        <v>9.8079426502844305E-3</v>
      </c>
      <c r="AO45" s="3">
        <f t="shared" si="13"/>
        <v>0.13004404717726972</v>
      </c>
      <c r="AP45" s="3">
        <f t="shared" si="14"/>
        <v>0.10064228462232604</v>
      </c>
      <c r="AQ45" s="6">
        <f t="shared" si="15"/>
        <v>1.2294279782569873E-2</v>
      </c>
      <c r="AR45" s="6">
        <f t="shared" si="31"/>
        <v>1.7773687158318536</v>
      </c>
      <c r="AS45" s="8">
        <f t="shared" si="32"/>
        <v>-30.999854228360888</v>
      </c>
      <c r="AT45" s="4">
        <f t="shared" si="33"/>
        <v>3.4429789605776959E-14</v>
      </c>
      <c r="AU45" s="4">
        <f t="shared" si="34"/>
        <v>3.4429789605776959E-10</v>
      </c>
      <c r="AV45" s="3">
        <f t="shared" si="17"/>
        <v>-9.4630656311823227</v>
      </c>
    </row>
    <row r="46" spans="1:48">
      <c r="A46" s="2" t="s">
        <v>455</v>
      </c>
      <c r="C46" s="2">
        <v>1200</v>
      </c>
      <c r="D46" s="3">
        <f t="shared" si="27"/>
        <v>6.7881749991514777</v>
      </c>
      <c r="E46" s="2">
        <v>1</v>
      </c>
      <c r="F46" s="2">
        <v>21600</v>
      </c>
      <c r="G46" s="2">
        <v>2.2000000000000002</v>
      </c>
      <c r="I46" s="2">
        <v>1975</v>
      </c>
      <c r="J46" s="2">
        <f>4.8 * 10^(-10)</f>
        <v>4.8E-10</v>
      </c>
      <c r="L46" s="3">
        <f t="shared" si="19"/>
        <v>-9.3187587626244124</v>
      </c>
      <c r="M46" s="3"/>
      <c r="N46" s="3"/>
      <c r="O46" s="3"/>
      <c r="P46" s="3"/>
      <c r="R46" s="2">
        <v>75.72</v>
      </c>
      <c r="S46" s="2">
        <v>0</v>
      </c>
      <c r="T46" s="2">
        <v>13.27</v>
      </c>
      <c r="V46" s="2">
        <v>1.06</v>
      </c>
      <c r="W46" s="2">
        <v>0</v>
      </c>
      <c r="X46" s="2">
        <v>7.0000000000000007E-2</v>
      </c>
      <c r="Y46" s="2">
        <v>0.55000000000000004</v>
      </c>
      <c r="Z46" s="2">
        <v>4.03</v>
      </c>
      <c r="AA46" s="2">
        <v>4.74</v>
      </c>
      <c r="AB46" s="2">
        <v>0.11</v>
      </c>
      <c r="AC46" s="2">
        <v>0.35</v>
      </c>
      <c r="AD46" s="2">
        <v>1.34</v>
      </c>
      <c r="AE46" s="2">
        <v>1.53</v>
      </c>
      <c r="AF46" s="2">
        <v>12.07</v>
      </c>
      <c r="AG46" s="3">
        <f t="shared" si="28"/>
        <v>1.2602356700619133</v>
      </c>
      <c r="AH46" s="3">
        <f t="shared" si="29"/>
        <v>0</v>
      </c>
      <c r="AI46" s="3">
        <f t="shared" si="30"/>
        <v>0.26029560322083933</v>
      </c>
      <c r="AJ46" s="3">
        <f t="shared" si="8"/>
        <v>1.3275971118500568E-3</v>
      </c>
      <c r="AK46" s="3">
        <f t="shared" si="9"/>
        <v>1.3278770669784534E-2</v>
      </c>
      <c r="AL46" s="3">
        <f t="shared" si="10"/>
        <v>0</v>
      </c>
      <c r="AM46" s="3">
        <f t="shared" si="11"/>
        <v>1.7368003175863439E-3</v>
      </c>
      <c r="AN46" s="3">
        <f t="shared" si="12"/>
        <v>9.8079426502844305E-3</v>
      </c>
      <c r="AO46" s="3">
        <f t="shared" si="13"/>
        <v>0.13004404717726972</v>
      </c>
      <c r="AP46" s="3">
        <f t="shared" si="14"/>
        <v>0.10064228462232604</v>
      </c>
      <c r="AQ46" s="6">
        <f t="shared" si="15"/>
        <v>1.2294279782569873E-2</v>
      </c>
      <c r="AR46" s="6">
        <f t="shared" si="31"/>
        <v>1.7773687158318536</v>
      </c>
      <c r="AS46" s="8">
        <f t="shared" si="32"/>
        <v>-30.584884570994674</v>
      </c>
      <c r="AT46" s="4">
        <f t="shared" si="33"/>
        <v>5.2137883962451112E-14</v>
      </c>
      <c r="AU46" s="4">
        <f t="shared" si="34"/>
        <v>5.213788396245111E-10</v>
      </c>
      <c r="AV46" s="3">
        <f t="shared" si="17"/>
        <v>-9.2828465988308935</v>
      </c>
    </row>
    <row r="47" spans="1:48">
      <c r="A47" s="2" t="s">
        <v>456</v>
      </c>
      <c r="C47" s="2">
        <v>1400</v>
      </c>
      <c r="D47" s="3">
        <f t="shared" si="27"/>
        <v>5.9767504407853451</v>
      </c>
      <c r="E47" s="2">
        <v>1</v>
      </c>
      <c r="F47" s="2">
        <v>3780</v>
      </c>
      <c r="G47" s="2">
        <v>0.66</v>
      </c>
      <c r="I47" s="2">
        <v>7500</v>
      </c>
      <c r="J47" s="2">
        <f>1.19 * 10^(-9)</f>
        <v>1.19E-9</v>
      </c>
      <c r="L47" s="3">
        <f t="shared" si="19"/>
        <v>-8.924453038607469</v>
      </c>
      <c r="M47" s="3"/>
      <c r="N47" s="3"/>
      <c r="O47" s="3"/>
      <c r="P47" s="3"/>
      <c r="R47" s="2">
        <v>75.72</v>
      </c>
      <c r="S47" s="2">
        <v>0</v>
      </c>
      <c r="T47" s="2">
        <v>13.27</v>
      </c>
      <c r="V47" s="2">
        <v>1.06</v>
      </c>
      <c r="W47" s="2">
        <v>0</v>
      </c>
      <c r="X47" s="2">
        <v>7.0000000000000007E-2</v>
      </c>
      <c r="Y47" s="2">
        <v>0.55000000000000004</v>
      </c>
      <c r="Z47" s="2">
        <v>4.03</v>
      </c>
      <c r="AA47" s="2">
        <v>4.74</v>
      </c>
      <c r="AB47" s="2">
        <v>0.11</v>
      </c>
      <c r="AC47" s="2">
        <v>0.35</v>
      </c>
      <c r="AD47" s="2">
        <v>1.34</v>
      </c>
      <c r="AE47" s="2">
        <v>1.53</v>
      </c>
      <c r="AF47" s="2">
        <v>12.07</v>
      </c>
      <c r="AG47" s="3">
        <f t="shared" si="28"/>
        <v>1.2602356700619133</v>
      </c>
      <c r="AH47" s="3">
        <f t="shared" si="29"/>
        <v>0</v>
      </c>
      <c r="AI47" s="3">
        <f t="shared" si="30"/>
        <v>0.26029560322083933</v>
      </c>
      <c r="AJ47" s="3">
        <f t="shared" si="8"/>
        <v>1.3275971118500568E-3</v>
      </c>
      <c r="AK47" s="3">
        <f t="shared" si="9"/>
        <v>1.3278770669784534E-2</v>
      </c>
      <c r="AL47" s="3">
        <f t="shared" si="10"/>
        <v>0</v>
      </c>
      <c r="AM47" s="3">
        <f t="shared" si="11"/>
        <v>1.7368003175863439E-3</v>
      </c>
      <c r="AN47" s="3">
        <f t="shared" si="12"/>
        <v>9.8079426502844305E-3</v>
      </c>
      <c r="AO47" s="3">
        <f t="shared" si="13"/>
        <v>0.13004404717726972</v>
      </c>
      <c r="AP47" s="3">
        <f t="shared" si="14"/>
        <v>0.10064228462232604</v>
      </c>
      <c r="AQ47" s="6">
        <f t="shared" si="15"/>
        <v>1.2294279782569873E-2</v>
      </c>
      <c r="AR47" s="6">
        <f t="shared" si="31"/>
        <v>1.7773687158318536</v>
      </c>
      <c r="AS47" s="8">
        <f t="shared" si="32"/>
        <v>-28.993902298397735</v>
      </c>
      <c r="AT47" s="4">
        <f t="shared" si="33"/>
        <v>2.5592235469791486E-13</v>
      </c>
      <c r="AU47" s="4">
        <f t="shared" si="34"/>
        <v>2.5592235469791485E-9</v>
      </c>
      <c r="AV47" s="3">
        <f t="shared" si="17"/>
        <v>-8.591891777036146</v>
      </c>
    </row>
    <row r="48" spans="1:48">
      <c r="A48" s="2" t="s">
        <v>457</v>
      </c>
      <c r="C48" s="2">
        <v>1400</v>
      </c>
      <c r="D48" s="3">
        <f t="shared" si="27"/>
        <v>5.9767504407853451</v>
      </c>
      <c r="E48" s="2">
        <v>1</v>
      </c>
      <c r="F48" s="2">
        <v>12240</v>
      </c>
      <c r="G48" s="2">
        <v>1.2</v>
      </c>
      <c r="I48" s="2">
        <v>6533</v>
      </c>
      <c r="J48" s="2">
        <f>1.09 * 10^(-9)</f>
        <v>1.0900000000000002E-9</v>
      </c>
      <c r="L48" s="3">
        <f t="shared" si="19"/>
        <v>-8.9625735020593762</v>
      </c>
      <c r="M48" s="3"/>
      <c r="N48" s="3"/>
      <c r="O48" s="3"/>
      <c r="P48" s="3"/>
      <c r="R48" s="2">
        <v>75.72</v>
      </c>
      <c r="S48" s="2">
        <v>0</v>
      </c>
      <c r="T48" s="2">
        <v>13.27</v>
      </c>
      <c r="V48" s="2">
        <v>1.06</v>
      </c>
      <c r="W48" s="2">
        <v>0</v>
      </c>
      <c r="X48" s="2">
        <v>7.0000000000000007E-2</v>
      </c>
      <c r="Y48" s="2">
        <v>0.55000000000000004</v>
      </c>
      <c r="Z48" s="2">
        <v>4.03</v>
      </c>
      <c r="AA48" s="2">
        <v>4.74</v>
      </c>
      <c r="AB48" s="2">
        <v>0.11</v>
      </c>
      <c r="AC48" s="2">
        <v>0.35</v>
      </c>
      <c r="AD48" s="2">
        <v>1.34</v>
      </c>
      <c r="AE48" s="2">
        <v>1.53</v>
      </c>
      <c r="AF48" s="2">
        <v>12.07</v>
      </c>
      <c r="AG48" s="3">
        <f t="shared" si="28"/>
        <v>1.2602356700619133</v>
      </c>
      <c r="AH48" s="3">
        <f t="shared" si="29"/>
        <v>0</v>
      </c>
      <c r="AI48" s="3">
        <f t="shared" si="30"/>
        <v>0.26029560322083933</v>
      </c>
      <c r="AJ48" s="3">
        <f t="shared" si="8"/>
        <v>1.3275971118500568E-3</v>
      </c>
      <c r="AK48" s="3">
        <f t="shared" si="9"/>
        <v>1.3278770669784534E-2</v>
      </c>
      <c r="AL48" s="3">
        <f t="shared" si="10"/>
        <v>0</v>
      </c>
      <c r="AM48" s="3">
        <f t="shared" si="11"/>
        <v>1.7368003175863439E-3</v>
      </c>
      <c r="AN48" s="3">
        <f t="shared" si="12"/>
        <v>9.8079426502844305E-3</v>
      </c>
      <c r="AO48" s="3">
        <f t="shared" si="13"/>
        <v>0.13004404717726972</v>
      </c>
      <c r="AP48" s="3">
        <f t="shared" si="14"/>
        <v>0.10064228462232604</v>
      </c>
      <c r="AQ48" s="6">
        <f t="shared" si="15"/>
        <v>1.2294279782569873E-2</v>
      </c>
      <c r="AR48" s="6">
        <f t="shared" si="31"/>
        <v>1.7773687158318536</v>
      </c>
      <c r="AS48" s="8">
        <f t="shared" si="32"/>
        <v>-28.820194069732807</v>
      </c>
      <c r="AT48" s="4">
        <f t="shared" si="33"/>
        <v>3.0447297317899835E-13</v>
      </c>
      <c r="AU48" s="4">
        <f t="shared" si="34"/>
        <v>3.0447297317899836E-9</v>
      </c>
      <c r="AV48" s="3">
        <f t="shared" si="17"/>
        <v>-8.5164512518657798</v>
      </c>
    </row>
    <row r="49" spans="1:48">
      <c r="A49" s="2" t="s">
        <v>458</v>
      </c>
      <c r="C49" s="2">
        <v>1400</v>
      </c>
      <c r="D49" s="3">
        <f t="shared" si="27"/>
        <v>5.9767504407853451</v>
      </c>
      <c r="E49" s="2">
        <v>1</v>
      </c>
      <c r="F49" s="2">
        <v>12600</v>
      </c>
      <c r="G49" s="2">
        <v>0.99</v>
      </c>
      <c r="I49" s="2">
        <v>6850</v>
      </c>
      <c r="J49" s="2">
        <f>8.67 * 10^(-10)</f>
        <v>8.67E-10</v>
      </c>
      <c r="L49" s="3">
        <f t="shared" si="19"/>
        <v>-9.0619809025237892</v>
      </c>
      <c r="M49" s="3"/>
      <c r="N49" s="3"/>
      <c r="O49" s="3"/>
      <c r="P49" s="3"/>
      <c r="R49" s="2">
        <v>75.72</v>
      </c>
      <c r="S49" s="2">
        <v>0</v>
      </c>
      <c r="T49" s="2">
        <v>13.27</v>
      </c>
      <c r="V49" s="2">
        <v>1.06</v>
      </c>
      <c r="W49" s="2">
        <v>0</v>
      </c>
      <c r="X49" s="2">
        <v>7.0000000000000007E-2</v>
      </c>
      <c r="Y49" s="2">
        <v>0.55000000000000004</v>
      </c>
      <c r="Z49" s="2">
        <v>4.03</v>
      </c>
      <c r="AA49" s="2">
        <v>4.74</v>
      </c>
      <c r="AB49" s="2">
        <v>0.11</v>
      </c>
      <c r="AC49" s="2">
        <v>0.35</v>
      </c>
      <c r="AD49" s="2">
        <v>1.34</v>
      </c>
      <c r="AE49" s="2">
        <v>1.53</v>
      </c>
      <c r="AF49" s="2">
        <v>12.07</v>
      </c>
      <c r="AG49" s="3">
        <f t="shared" si="28"/>
        <v>1.2602356700619133</v>
      </c>
      <c r="AH49" s="3">
        <f t="shared" si="29"/>
        <v>0</v>
      </c>
      <c r="AI49" s="3">
        <f t="shared" si="30"/>
        <v>0.26029560322083933</v>
      </c>
      <c r="AJ49" s="3">
        <f t="shared" si="8"/>
        <v>1.3275971118500568E-3</v>
      </c>
      <c r="AK49" s="3">
        <f t="shared" si="9"/>
        <v>1.3278770669784534E-2</v>
      </c>
      <c r="AL49" s="3">
        <f t="shared" si="10"/>
        <v>0</v>
      </c>
      <c r="AM49" s="3">
        <f t="shared" si="11"/>
        <v>1.7368003175863439E-3</v>
      </c>
      <c r="AN49" s="3">
        <f t="shared" si="12"/>
        <v>9.8079426502844305E-3</v>
      </c>
      <c r="AO49" s="3">
        <f t="shared" si="13"/>
        <v>0.13004404717726972</v>
      </c>
      <c r="AP49" s="3">
        <f t="shared" si="14"/>
        <v>0.10064228462232604</v>
      </c>
      <c r="AQ49" s="6">
        <f t="shared" si="15"/>
        <v>1.2294279782569873E-2</v>
      </c>
      <c r="AR49" s="6">
        <f t="shared" si="31"/>
        <v>1.7773687158318536</v>
      </c>
      <c r="AS49" s="8">
        <f t="shared" si="32"/>
        <v>-28.887747269769168</v>
      </c>
      <c r="AT49" s="4">
        <f t="shared" si="33"/>
        <v>2.8458418791691663E-13</v>
      </c>
      <c r="AU49" s="4">
        <f t="shared" si="34"/>
        <v>2.8458418791691664E-9</v>
      </c>
      <c r="AV49" s="3">
        <f t="shared" si="17"/>
        <v>-8.5457892338764783</v>
      </c>
    </row>
    <row r="50" spans="1:48">
      <c r="L50" s="3"/>
      <c r="M50" s="3"/>
      <c r="N50" s="3"/>
      <c r="O50" s="3"/>
      <c r="P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6"/>
      <c r="AR50" s="6"/>
      <c r="AV50" s="3"/>
    </row>
    <row r="51" spans="1:48">
      <c r="A51" s="2" t="s">
        <v>459</v>
      </c>
      <c r="L51" s="3"/>
      <c r="M51" s="3"/>
      <c r="N51" s="3"/>
      <c r="O51" s="3"/>
      <c r="P51" s="3"/>
      <c r="R51" s="1" t="s">
        <v>6</v>
      </c>
      <c r="S51" s="1" t="s">
        <v>12</v>
      </c>
      <c r="T51" s="1" t="s">
        <v>5</v>
      </c>
      <c r="U51" s="1"/>
      <c r="V51" s="1" t="s">
        <v>10</v>
      </c>
      <c r="W51" s="1" t="s">
        <v>9</v>
      </c>
      <c r="X51" s="1" t="s">
        <v>11</v>
      </c>
      <c r="Y51" s="1" t="s">
        <v>8</v>
      </c>
      <c r="Z51" s="1" t="s">
        <v>4</v>
      </c>
      <c r="AA51" s="1" t="s">
        <v>7</v>
      </c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6"/>
      <c r="AR51" s="6"/>
      <c r="AV51" s="3"/>
    </row>
    <row r="52" spans="1:48">
      <c r="A52" s="2" t="s">
        <v>460</v>
      </c>
      <c r="C52" s="2">
        <v>1050</v>
      </c>
      <c r="D52" s="3">
        <f t="shared" ref="D52:D63" si="35">10000/(C52+273.15)</f>
        <v>7.5577221025582881</v>
      </c>
      <c r="E52" s="2">
        <v>1</v>
      </c>
      <c r="F52" s="2">
        <v>154800</v>
      </c>
      <c r="G52" s="2">
        <v>4.9000000000000004</v>
      </c>
      <c r="I52" s="2">
        <v>916</v>
      </c>
      <c r="J52" s="2">
        <f>2.85 * 10^(-10)</f>
        <v>2.85E-10</v>
      </c>
      <c r="L52" s="3">
        <f t="shared" si="19"/>
        <v>-9.5451551399914898</v>
      </c>
      <c r="M52" s="3"/>
      <c r="N52" s="3"/>
      <c r="O52" s="3"/>
      <c r="P52" s="3"/>
      <c r="R52" s="2">
        <v>76.17</v>
      </c>
      <c r="S52" s="2">
        <v>0.05</v>
      </c>
      <c r="T52" s="2">
        <v>12.48</v>
      </c>
      <c r="V52" s="2">
        <v>1.94</v>
      </c>
      <c r="W52" s="2">
        <v>0.01</v>
      </c>
      <c r="X52" s="2">
        <v>0.04</v>
      </c>
      <c r="Y52" s="2">
        <v>0.33</v>
      </c>
      <c r="Z52" s="2">
        <v>4.0999999999999996</v>
      </c>
      <c r="AA52" s="2">
        <v>4.54</v>
      </c>
      <c r="AB52" s="2">
        <v>1.22</v>
      </c>
      <c r="AC52" s="2">
        <v>0</v>
      </c>
      <c r="AD52" s="2">
        <v>1.35</v>
      </c>
      <c r="AE52" s="2">
        <v>1.69</v>
      </c>
      <c r="AF52" s="2">
        <v>11.74</v>
      </c>
      <c r="AG52" s="3">
        <f t="shared" ref="AG52:AG63" si="36">R52/(28.086+15.999*2)</f>
        <v>1.267725184741362</v>
      </c>
      <c r="AH52" s="3">
        <f t="shared" ref="AH52:AH63" si="37">S52/(47.867+15.999*2)</f>
        <v>6.2605647029362061E-4</v>
      </c>
      <c r="AI52" s="3">
        <f t="shared" ref="AI52:AI63" si="38">T52/(26.982*2+15.999*3)*2</f>
        <v>0.2447994821549416</v>
      </c>
      <c r="AJ52" s="3">
        <f t="shared" si="8"/>
        <v>2.4297532047067075E-3</v>
      </c>
      <c r="AK52" s="3">
        <f t="shared" si="9"/>
        <v>2.430265575413396E-2</v>
      </c>
      <c r="AL52" s="3">
        <f t="shared" si="10"/>
        <v>1.4097015661784402E-4</v>
      </c>
      <c r="AM52" s="3">
        <f t="shared" si="11"/>
        <v>9.9245732433505358E-4</v>
      </c>
      <c r="AN52" s="3">
        <f t="shared" si="12"/>
        <v>5.8847655901706581E-3</v>
      </c>
      <c r="AO52" s="3">
        <f t="shared" si="13"/>
        <v>0.13230287678084512</v>
      </c>
      <c r="AP52" s="3">
        <f t="shared" si="14"/>
        <v>9.6395774722649832E-2</v>
      </c>
      <c r="AQ52" s="6">
        <f t="shared" si="15"/>
        <v>2.9105095028773512E-2</v>
      </c>
      <c r="AR52" s="6">
        <f t="shared" ref="AR52:AR63" si="39">SUM(AG52:AP52)</f>
        <v>1.7755999769000559</v>
      </c>
      <c r="AS52" s="8">
        <f t="shared" ref="AS52:AS63" si="40">-13.95+5.15*(G52/(1.007975*2+15.999)*2+4.1*(Y52/(40.078+15.999))-(X52/(24.3055+15.999)))/AR52-((36475*((R52/(28.085+15.999*2))+(T52/(26.982*2+15.999*3))*2-(1.8*(V52/(55.845+15.999))))/AR52)-11088*E52*(((R52/(28.085+15.999))+(T52/(26.982*2+15.999*3))*2)/AR52-2/3))/(C52+273.15)</f>
        <v>-31.310000574698705</v>
      </c>
      <c r="AT52" s="4">
        <f t="shared" ref="AT52:AT63" si="41">EXP(AS52)</f>
        <v>2.52487290603749E-14</v>
      </c>
      <c r="AU52" s="4">
        <f t="shared" ref="AU52:AU63" si="42">AT52*10000</f>
        <v>2.5248729060374899E-10</v>
      </c>
      <c r="AV52" s="3">
        <f t="shared" si="17"/>
        <v>-9.5977604779792909</v>
      </c>
    </row>
    <row r="53" spans="1:48">
      <c r="A53" s="2" t="s">
        <v>461</v>
      </c>
      <c r="C53" s="2">
        <v>1050</v>
      </c>
      <c r="D53" s="3">
        <f t="shared" si="35"/>
        <v>7.5577221025582881</v>
      </c>
      <c r="E53" s="2">
        <v>1</v>
      </c>
      <c r="F53" s="2">
        <v>154800</v>
      </c>
      <c r="G53" s="2">
        <v>5.08</v>
      </c>
      <c r="I53" s="2">
        <v>913</v>
      </c>
      <c r="J53" s="2">
        <f>5.23 * 10^(-10)</f>
        <v>5.2300000000000006E-10</v>
      </c>
      <c r="L53" s="3">
        <f t="shared" si="19"/>
        <v>-9.2814983111327258</v>
      </c>
      <c r="M53" s="3"/>
      <c r="N53" s="3"/>
      <c r="O53" s="3"/>
      <c r="P53" s="3"/>
      <c r="R53" s="2">
        <v>76.17</v>
      </c>
      <c r="S53" s="2">
        <v>0.05</v>
      </c>
      <c r="T53" s="2">
        <v>12.48</v>
      </c>
      <c r="V53" s="2">
        <v>1.94</v>
      </c>
      <c r="W53" s="2">
        <v>0.01</v>
      </c>
      <c r="X53" s="2">
        <v>0.04</v>
      </c>
      <c r="Y53" s="2">
        <v>0.33</v>
      </c>
      <c r="Z53" s="2">
        <v>4.0999999999999996</v>
      </c>
      <c r="AA53" s="2">
        <v>4.54</v>
      </c>
      <c r="AB53" s="2">
        <v>1.22</v>
      </c>
      <c r="AC53" s="2">
        <v>0</v>
      </c>
      <c r="AD53" s="2">
        <v>1.35</v>
      </c>
      <c r="AE53" s="2">
        <v>1.69</v>
      </c>
      <c r="AF53" s="2">
        <v>11.74</v>
      </c>
      <c r="AG53" s="3">
        <f t="shared" si="36"/>
        <v>1.267725184741362</v>
      </c>
      <c r="AH53" s="3">
        <f t="shared" si="37"/>
        <v>6.2605647029362061E-4</v>
      </c>
      <c r="AI53" s="3">
        <f t="shared" si="38"/>
        <v>0.2447994821549416</v>
      </c>
      <c r="AJ53" s="3">
        <f t="shared" si="8"/>
        <v>2.4297532047067075E-3</v>
      </c>
      <c r="AK53" s="3">
        <f t="shared" si="9"/>
        <v>2.430265575413396E-2</v>
      </c>
      <c r="AL53" s="3">
        <f t="shared" si="10"/>
        <v>1.4097015661784402E-4</v>
      </c>
      <c r="AM53" s="3">
        <f t="shared" si="11"/>
        <v>9.9245732433505358E-4</v>
      </c>
      <c r="AN53" s="3">
        <f t="shared" si="12"/>
        <v>5.8847655901706581E-3</v>
      </c>
      <c r="AO53" s="3">
        <f t="shared" si="13"/>
        <v>0.13230287678084512</v>
      </c>
      <c r="AP53" s="3">
        <f t="shared" si="14"/>
        <v>9.6395774722649832E-2</v>
      </c>
      <c r="AQ53" s="6">
        <f t="shared" si="15"/>
        <v>2.9105095028773512E-2</v>
      </c>
      <c r="AR53" s="6">
        <f t="shared" si="39"/>
        <v>1.7755999769000559</v>
      </c>
      <c r="AS53" s="8">
        <f t="shared" si="40"/>
        <v>-31.252040152807844</v>
      </c>
      <c r="AT53" s="4">
        <f t="shared" si="41"/>
        <v>2.6755397858893433E-14</v>
      </c>
      <c r="AU53" s="4">
        <f t="shared" si="42"/>
        <v>2.6755397858893433E-10</v>
      </c>
      <c r="AV53" s="3">
        <f t="shared" si="17"/>
        <v>-9.572588586583306</v>
      </c>
    </row>
    <row r="54" spans="1:48">
      <c r="A54" s="2" t="s">
        <v>462</v>
      </c>
      <c r="C54" s="2">
        <v>1200</v>
      </c>
      <c r="D54" s="3">
        <f t="shared" si="35"/>
        <v>6.7881749991514777</v>
      </c>
      <c r="E54" s="2">
        <v>1</v>
      </c>
      <c r="F54" s="2">
        <v>72000</v>
      </c>
      <c r="G54" s="2">
        <v>3.34</v>
      </c>
      <c r="I54" s="2">
        <v>1983</v>
      </c>
      <c r="J54" s="2">
        <f>2.44 * 10^(-9)</f>
        <v>2.4400000000000003E-9</v>
      </c>
      <c r="L54" s="3">
        <f t="shared" si="19"/>
        <v>-8.6126101736612704</v>
      </c>
      <c r="M54" s="3"/>
      <c r="N54" s="3"/>
      <c r="O54" s="3"/>
      <c r="P54" s="3"/>
      <c r="R54" s="2">
        <v>76.17</v>
      </c>
      <c r="S54" s="2">
        <v>0.05</v>
      </c>
      <c r="T54" s="2">
        <v>12.48</v>
      </c>
      <c r="V54" s="2">
        <v>1.94</v>
      </c>
      <c r="W54" s="2">
        <v>0.01</v>
      </c>
      <c r="X54" s="2">
        <v>0.04</v>
      </c>
      <c r="Y54" s="2">
        <v>0.33</v>
      </c>
      <c r="Z54" s="2">
        <v>4.0999999999999996</v>
      </c>
      <c r="AA54" s="2">
        <v>4.54</v>
      </c>
      <c r="AB54" s="2">
        <v>1.22</v>
      </c>
      <c r="AC54" s="2">
        <v>0</v>
      </c>
      <c r="AD54" s="2">
        <v>1.35</v>
      </c>
      <c r="AE54" s="2">
        <v>1.69</v>
      </c>
      <c r="AF54" s="2">
        <v>11.74</v>
      </c>
      <c r="AG54" s="3">
        <f t="shared" si="36"/>
        <v>1.267725184741362</v>
      </c>
      <c r="AH54" s="3">
        <f t="shared" si="37"/>
        <v>6.2605647029362061E-4</v>
      </c>
      <c r="AI54" s="3">
        <f t="shared" si="38"/>
        <v>0.2447994821549416</v>
      </c>
      <c r="AJ54" s="3">
        <f t="shared" si="8"/>
        <v>2.4297532047067075E-3</v>
      </c>
      <c r="AK54" s="3">
        <f t="shared" si="9"/>
        <v>2.430265575413396E-2</v>
      </c>
      <c r="AL54" s="3">
        <f t="shared" si="10"/>
        <v>1.4097015661784402E-4</v>
      </c>
      <c r="AM54" s="3">
        <f t="shared" si="11"/>
        <v>9.9245732433505358E-4</v>
      </c>
      <c r="AN54" s="3">
        <f t="shared" si="12"/>
        <v>5.8847655901706581E-3</v>
      </c>
      <c r="AO54" s="3">
        <f t="shared" si="13"/>
        <v>0.13230287678084512</v>
      </c>
      <c r="AP54" s="3">
        <f t="shared" si="14"/>
        <v>9.6395774722649832E-2</v>
      </c>
      <c r="AQ54" s="6">
        <f t="shared" si="15"/>
        <v>2.9105095028773512E-2</v>
      </c>
      <c r="AR54" s="6">
        <f t="shared" si="39"/>
        <v>1.7755999769000559</v>
      </c>
      <c r="AS54" s="8">
        <f t="shared" si="40"/>
        <v>-29.877194026922368</v>
      </c>
      <c r="AT54" s="4">
        <f t="shared" si="41"/>
        <v>1.0580336963174243E-13</v>
      </c>
      <c r="AU54" s="4">
        <f t="shared" si="42"/>
        <v>1.0580336963174242E-9</v>
      </c>
      <c r="AV54" s="3">
        <f t="shared" si="17"/>
        <v>-8.9755005006451807</v>
      </c>
    </row>
    <row r="55" spans="1:48">
      <c r="A55" s="2" t="s">
        <v>463</v>
      </c>
      <c r="C55" s="2">
        <v>1200</v>
      </c>
      <c r="D55" s="3">
        <f t="shared" si="35"/>
        <v>6.7881749991514777</v>
      </c>
      <c r="E55" s="2">
        <v>1</v>
      </c>
      <c r="F55" s="2">
        <v>28800</v>
      </c>
      <c r="G55" s="2">
        <v>4.9800000000000004</v>
      </c>
      <c r="I55" s="2">
        <v>3200</v>
      </c>
      <c r="J55" s="2">
        <f>2.14 * 10^(-9)</f>
        <v>2.1400000000000001E-9</v>
      </c>
      <c r="L55" s="3">
        <f t="shared" si="19"/>
        <v>-8.669586226650809</v>
      </c>
      <c r="M55" s="3"/>
      <c r="N55" s="3"/>
      <c r="O55" s="3"/>
      <c r="P55" s="3"/>
      <c r="R55" s="2">
        <v>76.17</v>
      </c>
      <c r="S55" s="2">
        <v>0.05</v>
      </c>
      <c r="T55" s="2">
        <v>12.48</v>
      </c>
      <c r="V55" s="2">
        <v>1.94</v>
      </c>
      <c r="W55" s="2">
        <v>0.01</v>
      </c>
      <c r="X55" s="2">
        <v>0.04</v>
      </c>
      <c r="Y55" s="2">
        <v>0.33</v>
      </c>
      <c r="Z55" s="2">
        <v>4.0999999999999996</v>
      </c>
      <c r="AA55" s="2">
        <v>4.54</v>
      </c>
      <c r="AB55" s="2">
        <v>1.22</v>
      </c>
      <c r="AC55" s="2">
        <v>0</v>
      </c>
      <c r="AD55" s="2">
        <v>1.35</v>
      </c>
      <c r="AE55" s="2">
        <v>1.69</v>
      </c>
      <c r="AF55" s="2">
        <v>11.74</v>
      </c>
      <c r="AG55" s="3">
        <f t="shared" si="36"/>
        <v>1.267725184741362</v>
      </c>
      <c r="AH55" s="3">
        <f t="shared" si="37"/>
        <v>6.2605647029362061E-4</v>
      </c>
      <c r="AI55" s="3">
        <f t="shared" si="38"/>
        <v>0.2447994821549416</v>
      </c>
      <c r="AJ55" s="3">
        <f t="shared" si="8"/>
        <v>2.4297532047067075E-3</v>
      </c>
      <c r="AK55" s="3">
        <f t="shared" si="9"/>
        <v>2.430265575413396E-2</v>
      </c>
      <c r="AL55" s="3">
        <f t="shared" si="10"/>
        <v>1.4097015661784402E-4</v>
      </c>
      <c r="AM55" s="3">
        <f t="shared" si="11"/>
        <v>9.9245732433505358E-4</v>
      </c>
      <c r="AN55" s="3">
        <f t="shared" si="12"/>
        <v>5.8847655901706581E-3</v>
      </c>
      <c r="AO55" s="3">
        <f t="shared" si="13"/>
        <v>0.13230287678084512</v>
      </c>
      <c r="AP55" s="3">
        <f t="shared" si="14"/>
        <v>9.6395774722649832E-2</v>
      </c>
      <c r="AQ55" s="6">
        <f t="shared" si="15"/>
        <v>2.9105095028773512E-2</v>
      </c>
      <c r="AR55" s="6">
        <f t="shared" si="39"/>
        <v>1.7755999769000559</v>
      </c>
      <c r="AS55" s="8">
        <f t="shared" si="40"/>
        <v>-29.349110183027832</v>
      </c>
      <c r="AT55" s="4">
        <f t="shared" si="41"/>
        <v>1.7940865845805007E-13</v>
      </c>
      <c r="AU55" s="4">
        <f t="shared" si="42"/>
        <v>1.7940865845805007E-9</v>
      </c>
      <c r="AV55" s="3">
        <f t="shared" si="17"/>
        <v>-8.7461566012595249</v>
      </c>
    </row>
    <row r="56" spans="1:48">
      <c r="A56" s="2" t="s">
        <v>464</v>
      </c>
      <c r="C56" s="2">
        <v>1400</v>
      </c>
      <c r="D56" s="3">
        <f t="shared" si="35"/>
        <v>5.9767504407853451</v>
      </c>
      <c r="E56" s="2">
        <v>1</v>
      </c>
      <c r="F56" s="2">
        <v>3780</v>
      </c>
      <c r="G56" s="2">
        <v>4.46</v>
      </c>
      <c r="I56" s="2">
        <v>11267</v>
      </c>
      <c r="J56" s="2">
        <f>2.63 * 10^(-8)</f>
        <v>2.6300000000000001E-8</v>
      </c>
      <c r="L56" s="3">
        <f t="shared" si="19"/>
        <v>-7.580044251510242</v>
      </c>
      <c r="M56" s="3"/>
      <c r="N56" s="3"/>
      <c r="O56" s="3"/>
      <c r="P56" s="3"/>
      <c r="R56" s="2">
        <v>76.17</v>
      </c>
      <c r="S56" s="2">
        <v>0.05</v>
      </c>
      <c r="T56" s="2">
        <v>12.48</v>
      </c>
      <c r="V56" s="2">
        <v>1.94</v>
      </c>
      <c r="W56" s="2">
        <v>0.01</v>
      </c>
      <c r="X56" s="2">
        <v>0.04</v>
      </c>
      <c r="Y56" s="2">
        <v>0.33</v>
      </c>
      <c r="Z56" s="2">
        <v>4.0999999999999996</v>
      </c>
      <c r="AA56" s="2">
        <v>4.54</v>
      </c>
      <c r="AB56" s="2">
        <v>1.22</v>
      </c>
      <c r="AC56" s="2">
        <v>0</v>
      </c>
      <c r="AD56" s="2">
        <v>1.35</v>
      </c>
      <c r="AE56" s="2">
        <v>1.69</v>
      </c>
      <c r="AF56" s="2">
        <v>11.74</v>
      </c>
      <c r="AG56" s="3">
        <f t="shared" si="36"/>
        <v>1.267725184741362</v>
      </c>
      <c r="AH56" s="3">
        <f t="shared" si="37"/>
        <v>6.2605647029362061E-4</v>
      </c>
      <c r="AI56" s="3">
        <f t="shared" si="38"/>
        <v>0.2447994821549416</v>
      </c>
      <c r="AJ56" s="3">
        <f t="shared" si="8"/>
        <v>2.4297532047067075E-3</v>
      </c>
      <c r="AK56" s="3">
        <f t="shared" si="9"/>
        <v>2.430265575413396E-2</v>
      </c>
      <c r="AL56" s="3">
        <f t="shared" si="10"/>
        <v>1.4097015661784402E-4</v>
      </c>
      <c r="AM56" s="3">
        <f t="shared" si="11"/>
        <v>9.9245732433505358E-4</v>
      </c>
      <c r="AN56" s="3">
        <f t="shared" si="12"/>
        <v>5.8847655901706581E-3</v>
      </c>
      <c r="AO56" s="3">
        <f t="shared" si="13"/>
        <v>0.13230287678084512</v>
      </c>
      <c r="AP56" s="3">
        <f t="shared" si="14"/>
        <v>9.6395774722649832E-2</v>
      </c>
      <c r="AQ56" s="6">
        <f t="shared" si="15"/>
        <v>2.9105095028773512E-2</v>
      </c>
      <c r="AR56" s="6">
        <f t="shared" si="39"/>
        <v>1.7755999769000559</v>
      </c>
      <c r="AS56" s="8">
        <f t="shared" si="40"/>
        <v>-27.476114676971839</v>
      </c>
      <c r="AT56" s="4">
        <f t="shared" si="41"/>
        <v>1.167548718918563E-12</v>
      </c>
      <c r="AU56" s="4">
        <f t="shared" si="42"/>
        <v>1.1675487189185629E-8</v>
      </c>
      <c r="AV56" s="3">
        <f t="shared" si="17"/>
        <v>-7.9327249883498183</v>
      </c>
    </row>
    <row r="57" spans="1:48">
      <c r="A57" s="2" t="s">
        <v>465</v>
      </c>
      <c r="C57" s="2">
        <v>1400</v>
      </c>
      <c r="D57" s="3">
        <f t="shared" si="35"/>
        <v>5.9767504407853451</v>
      </c>
      <c r="E57" s="2">
        <v>1</v>
      </c>
      <c r="F57" s="2">
        <v>7200</v>
      </c>
      <c r="G57" s="2">
        <v>3.48</v>
      </c>
      <c r="I57" s="2">
        <v>9300</v>
      </c>
      <c r="J57" s="2">
        <f>8.51 * 10^(-9)</f>
        <v>8.5099999999999998E-9</v>
      </c>
      <c r="L57" s="3">
        <f t="shared" si="19"/>
        <v>-8.070070439915412</v>
      </c>
      <c r="M57" s="3"/>
      <c r="N57" s="3"/>
      <c r="O57" s="3"/>
      <c r="P57" s="3"/>
      <c r="R57" s="2">
        <v>76.17</v>
      </c>
      <c r="S57" s="2">
        <v>0.05</v>
      </c>
      <c r="T57" s="2">
        <v>12.48</v>
      </c>
      <c r="V57" s="2">
        <v>1.94</v>
      </c>
      <c r="W57" s="2">
        <v>0.01</v>
      </c>
      <c r="X57" s="2">
        <v>0.04</v>
      </c>
      <c r="Y57" s="2">
        <v>0.33</v>
      </c>
      <c r="Z57" s="2">
        <v>4.0999999999999996</v>
      </c>
      <c r="AA57" s="2">
        <v>4.54</v>
      </c>
      <c r="AB57" s="2">
        <v>1.22</v>
      </c>
      <c r="AC57" s="2">
        <v>0</v>
      </c>
      <c r="AD57" s="2">
        <v>1.35</v>
      </c>
      <c r="AE57" s="2">
        <v>1.69</v>
      </c>
      <c r="AF57" s="2">
        <v>11.74</v>
      </c>
      <c r="AG57" s="3">
        <f t="shared" si="36"/>
        <v>1.267725184741362</v>
      </c>
      <c r="AH57" s="3">
        <f t="shared" si="37"/>
        <v>6.2605647029362061E-4</v>
      </c>
      <c r="AI57" s="3">
        <f t="shared" si="38"/>
        <v>0.2447994821549416</v>
      </c>
      <c r="AJ57" s="3">
        <f t="shared" si="8"/>
        <v>2.4297532047067075E-3</v>
      </c>
      <c r="AK57" s="3">
        <f t="shared" si="9"/>
        <v>2.430265575413396E-2</v>
      </c>
      <c r="AL57" s="3">
        <f t="shared" si="10"/>
        <v>1.4097015661784402E-4</v>
      </c>
      <c r="AM57" s="3">
        <f t="shared" si="11"/>
        <v>9.9245732433505358E-4</v>
      </c>
      <c r="AN57" s="3">
        <f t="shared" si="12"/>
        <v>5.8847655901706581E-3</v>
      </c>
      <c r="AO57" s="3">
        <f t="shared" si="13"/>
        <v>0.13230287678084512</v>
      </c>
      <c r="AP57" s="3">
        <f t="shared" si="14"/>
        <v>9.6395774722649832E-2</v>
      </c>
      <c r="AQ57" s="6">
        <f t="shared" si="15"/>
        <v>2.9105095028773512E-2</v>
      </c>
      <c r="AR57" s="6">
        <f t="shared" si="39"/>
        <v>1.7755999769000559</v>
      </c>
      <c r="AS57" s="8">
        <f t="shared" si="40"/>
        <v>-27.79167697393321</v>
      </c>
      <c r="AT57" s="4">
        <f t="shared" si="41"/>
        <v>8.5158508687574097E-13</v>
      </c>
      <c r="AU57" s="4">
        <f t="shared" si="42"/>
        <v>8.5158508687574102E-9</v>
      </c>
      <c r="AV57" s="3">
        <f t="shared" si="17"/>
        <v>-8.0697719526168576</v>
      </c>
    </row>
    <row r="58" spans="1:48">
      <c r="A58" s="2" t="s">
        <v>466</v>
      </c>
      <c r="C58" s="2">
        <v>1200</v>
      </c>
      <c r="D58" s="3">
        <f t="shared" si="35"/>
        <v>6.7881749991514777</v>
      </c>
      <c r="E58" s="2">
        <v>1</v>
      </c>
      <c r="F58" s="2">
        <v>21600</v>
      </c>
      <c r="G58" s="2">
        <v>1.34</v>
      </c>
      <c r="I58" s="2">
        <v>928</v>
      </c>
      <c r="J58" s="2">
        <f>6.94 * 10^(-10)</f>
        <v>6.9400000000000008E-10</v>
      </c>
      <c r="L58" s="3">
        <f t="shared" si="19"/>
        <v>-9.1586405295451456</v>
      </c>
      <c r="M58" s="3"/>
      <c r="N58" s="3"/>
      <c r="O58" s="3"/>
      <c r="P58" s="3"/>
      <c r="R58" s="2">
        <v>76.17</v>
      </c>
      <c r="S58" s="2">
        <v>0.05</v>
      </c>
      <c r="T58" s="2">
        <v>12.48</v>
      </c>
      <c r="V58" s="2">
        <v>1.94</v>
      </c>
      <c r="W58" s="2">
        <v>0.01</v>
      </c>
      <c r="X58" s="2">
        <v>0.04</v>
      </c>
      <c r="Y58" s="2">
        <v>0.33</v>
      </c>
      <c r="Z58" s="2">
        <v>4.0999999999999996</v>
      </c>
      <c r="AA58" s="2">
        <v>4.54</v>
      </c>
      <c r="AB58" s="2">
        <v>1.22</v>
      </c>
      <c r="AC58" s="2">
        <v>0</v>
      </c>
      <c r="AD58" s="2">
        <v>1.35</v>
      </c>
      <c r="AE58" s="2">
        <v>1.69</v>
      </c>
      <c r="AF58" s="2">
        <v>11.74</v>
      </c>
      <c r="AG58" s="3">
        <f t="shared" si="36"/>
        <v>1.267725184741362</v>
      </c>
      <c r="AH58" s="3">
        <f t="shared" si="37"/>
        <v>6.2605647029362061E-4</v>
      </c>
      <c r="AI58" s="3">
        <f t="shared" si="38"/>
        <v>0.2447994821549416</v>
      </c>
      <c r="AJ58" s="3">
        <f t="shared" si="8"/>
        <v>2.4297532047067075E-3</v>
      </c>
      <c r="AK58" s="3">
        <f t="shared" si="9"/>
        <v>2.430265575413396E-2</v>
      </c>
      <c r="AL58" s="3">
        <f t="shared" si="10"/>
        <v>1.4097015661784402E-4</v>
      </c>
      <c r="AM58" s="3">
        <f t="shared" si="11"/>
        <v>9.9245732433505358E-4</v>
      </c>
      <c r="AN58" s="3">
        <f t="shared" si="12"/>
        <v>5.8847655901706581E-3</v>
      </c>
      <c r="AO58" s="3">
        <f t="shared" si="13"/>
        <v>0.13230287678084512</v>
      </c>
      <c r="AP58" s="3">
        <f t="shared" si="14"/>
        <v>9.6395774722649832E-2</v>
      </c>
      <c r="AQ58" s="6">
        <f t="shared" si="15"/>
        <v>2.9105095028773512E-2</v>
      </c>
      <c r="AR58" s="6">
        <f t="shared" si="39"/>
        <v>1.7755999769000559</v>
      </c>
      <c r="AS58" s="8">
        <f t="shared" si="40"/>
        <v>-30.521198714598629</v>
      </c>
      <c r="AT58" s="4">
        <f t="shared" si="41"/>
        <v>5.5566343226455901E-14</v>
      </c>
      <c r="AU58" s="4">
        <f t="shared" si="42"/>
        <v>5.5566343226455902E-10</v>
      </c>
      <c r="AV58" s="3">
        <f t="shared" si="17"/>
        <v>-9.255188182822808</v>
      </c>
    </row>
    <row r="59" spans="1:48">
      <c r="A59" s="2" t="s">
        <v>467</v>
      </c>
      <c r="C59" s="2">
        <v>1200</v>
      </c>
      <c r="D59" s="3">
        <f t="shared" si="35"/>
        <v>6.7881749991514777</v>
      </c>
      <c r="E59" s="2">
        <v>1</v>
      </c>
      <c r="F59" s="2">
        <v>72000</v>
      </c>
      <c r="G59" s="2">
        <v>1.99</v>
      </c>
      <c r="I59" s="2">
        <v>2333</v>
      </c>
      <c r="J59" s="2">
        <f>8.38 * 10^(-10)</f>
        <v>8.380000000000001E-10</v>
      </c>
      <c r="L59" s="3">
        <f t="shared" si="19"/>
        <v>-9.0767559813697236</v>
      </c>
      <c r="M59" s="3"/>
      <c r="N59" s="3"/>
      <c r="O59" s="3"/>
      <c r="P59" s="3"/>
      <c r="R59" s="2">
        <v>76.17</v>
      </c>
      <c r="S59" s="2">
        <v>0.05</v>
      </c>
      <c r="T59" s="2">
        <v>12.48</v>
      </c>
      <c r="V59" s="2">
        <v>1.94</v>
      </c>
      <c r="W59" s="2">
        <v>0.01</v>
      </c>
      <c r="X59" s="2">
        <v>0.04</v>
      </c>
      <c r="Y59" s="2">
        <v>0.33</v>
      </c>
      <c r="Z59" s="2">
        <v>4.0999999999999996</v>
      </c>
      <c r="AA59" s="2">
        <v>4.54</v>
      </c>
      <c r="AB59" s="2">
        <v>1.22</v>
      </c>
      <c r="AC59" s="2">
        <v>0</v>
      </c>
      <c r="AD59" s="2">
        <v>1.35</v>
      </c>
      <c r="AE59" s="2">
        <v>1.69</v>
      </c>
      <c r="AF59" s="2">
        <v>11.74</v>
      </c>
      <c r="AG59" s="3">
        <f t="shared" si="36"/>
        <v>1.267725184741362</v>
      </c>
      <c r="AH59" s="3">
        <f t="shared" si="37"/>
        <v>6.2605647029362061E-4</v>
      </c>
      <c r="AI59" s="3">
        <f t="shared" si="38"/>
        <v>0.2447994821549416</v>
      </c>
      <c r="AJ59" s="3">
        <f t="shared" si="8"/>
        <v>2.4297532047067075E-3</v>
      </c>
      <c r="AK59" s="3">
        <f t="shared" si="9"/>
        <v>2.430265575413396E-2</v>
      </c>
      <c r="AL59" s="3">
        <f t="shared" si="10"/>
        <v>1.4097015661784402E-4</v>
      </c>
      <c r="AM59" s="3">
        <f t="shared" si="11"/>
        <v>9.9245732433505358E-4</v>
      </c>
      <c r="AN59" s="3">
        <f t="shared" si="12"/>
        <v>5.8847655901706581E-3</v>
      </c>
      <c r="AO59" s="3">
        <f t="shared" si="13"/>
        <v>0.13230287678084512</v>
      </c>
      <c r="AP59" s="3">
        <f t="shared" si="14"/>
        <v>9.6395774722649832E-2</v>
      </c>
      <c r="AQ59" s="6">
        <f t="shared" si="15"/>
        <v>2.9105095028773512E-2</v>
      </c>
      <c r="AR59" s="6">
        <f t="shared" si="39"/>
        <v>1.7755999769000559</v>
      </c>
      <c r="AS59" s="8">
        <f t="shared" si="40"/>
        <v>-30.311897191103846</v>
      </c>
      <c r="AT59" s="4">
        <f t="shared" si="41"/>
        <v>6.850311398067617E-14</v>
      </c>
      <c r="AU59" s="4">
        <f t="shared" si="42"/>
        <v>6.8503113980676169E-10</v>
      </c>
      <c r="AV59" s="3">
        <f t="shared" si="17"/>
        <v>-9.1642896861150795</v>
      </c>
    </row>
    <row r="60" spans="1:48">
      <c r="A60" s="2" t="s">
        <v>468</v>
      </c>
      <c r="C60" s="2">
        <v>1200</v>
      </c>
      <c r="D60" s="3">
        <f t="shared" si="35"/>
        <v>6.7881749991514777</v>
      </c>
      <c r="E60" s="2">
        <v>1</v>
      </c>
      <c r="F60" s="2">
        <v>28800</v>
      </c>
      <c r="G60" s="2">
        <v>2.57</v>
      </c>
      <c r="I60" s="2">
        <v>2000</v>
      </c>
      <c r="J60" s="2">
        <f>4.5 * 10^(-10)</f>
        <v>4.5E-10</v>
      </c>
      <c r="L60" s="3">
        <f t="shared" si="19"/>
        <v>-9.346787486224656</v>
      </c>
      <c r="M60" s="3"/>
      <c r="N60" s="3"/>
      <c r="O60" s="3"/>
      <c r="P60" s="3"/>
      <c r="R60" s="2">
        <v>76.17</v>
      </c>
      <c r="S60" s="2">
        <v>0.05</v>
      </c>
      <c r="T60" s="2">
        <v>12.48</v>
      </c>
      <c r="V60" s="2">
        <v>1.94</v>
      </c>
      <c r="W60" s="2">
        <v>0.01</v>
      </c>
      <c r="X60" s="2">
        <v>0.04</v>
      </c>
      <c r="Y60" s="2">
        <v>0.33</v>
      </c>
      <c r="Z60" s="2">
        <v>4.0999999999999996</v>
      </c>
      <c r="AA60" s="2">
        <v>4.54</v>
      </c>
      <c r="AB60" s="2">
        <v>1.22</v>
      </c>
      <c r="AC60" s="2">
        <v>0</v>
      </c>
      <c r="AD60" s="2">
        <v>1.35</v>
      </c>
      <c r="AE60" s="2">
        <v>1.69</v>
      </c>
      <c r="AF60" s="2">
        <v>11.74</v>
      </c>
      <c r="AG60" s="3">
        <f t="shared" si="36"/>
        <v>1.267725184741362</v>
      </c>
      <c r="AH60" s="3">
        <f t="shared" si="37"/>
        <v>6.2605647029362061E-4</v>
      </c>
      <c r="AI60" s="3">
        <f t="shared" si="38"/>
        <v>0.2447994821549416</v>
      </c>
      <c r="AJ60" s="3">
        <f t="shared" si="8"/>
        <v>2.4297532047067075E-3</v>
      </c>
      <c r="AK60" s="3">
        <f t="shared" si="9"/>
        <v>2.430265575413396E-2</v>
      </c>
      <c r="AL60" s="3">
        <f t="shared" si="10"/>
        <v>1.4097015661784402E-4</v>
      </c>
      <c r="AM60" s="3">
        <f t="shared" si="11"/>
        <v>9.9245732433505358E-4</v>
      </c>
      <c r="AN60" s="3">
        <f t="shared" si="12"/>
        <v>5.8847655901706581E-3</v>
      </c>
      <c r="AO60" s="3">
        <f t="shared" si="13"/>
        <v>0.13230287678084512</v>
      </c>
      <c r="AP60" s="3">
        <f t="shared" si="14"/>
        <v>9.6395774722649832E-2</v>
      </c>
      <c r="AQ60" s="6">
        <f t="shared" si="15"/>
        <v>2.9105095028773512E-2</v>
      </c>
      <c r="AR60" s="6">
        <f t="shared" si="39"/>
        <v>1.7755999769000559</v>
      </c>
      <c r="AS60" s="8">
        <f t="shared" si="40"/>
        <v>-30.125135831677728</v>
      </c>
      <c r="AT60" s="4">
        <f t="shared" si="41"/>
        <v>8.2569516537850307E-14</v>
      </c>
      <c r="AU60" s="4">
        <f t="shared" si="42"/>
        <v>8.2569516537850308E-10</v>
      </c>
      <c r="AV60" s="3">
        <f t="shared" si="17"/>
        <v>-9.0831802582835657</v>
      </c>
    </row>
    <row r="61" spans="1:48">
      <c r="A61" s="2" t="s">
        <v>469</v>
      </c>
      <c r="C61" s="2">
        <v>1300</v>
      </c>
      <c r="D61" s="3">
        <f t="shared" si="35"/>
        <v>6.3566729173950351</v>
      </c>
      <c r="E61" s="2">
        <v>1</v>
      </c>
      <c r="F61" s="2">
        <v>18000</v>
      </c>
      <c r="G61" s="2">
        <v>1.17</v>
      </c>
      <c r="I61" s="2">
        <v>3350</v>
      </c>
      <c r="J61" s="2">
        <f>5.16 * 10^(-10)</f>
        <v>5.1600000000000008E-10</v>
      </c>
      <c r="L61" s="3">
        <f t="shared" si="19"/>
        <v>-9.2873502983727878</v>
      </c>
      <c r="M61" s="3"/>
      <c r="N61" s="3"/>
      <c r="O61" s="3"/>
      <c r="P61" s="3"/>
      <c r="R61" s="2">
        <v>76.17</v>
      </c>
      <c r="S61" s="2">
        <v>0.05</v>
      </c>
      <c r="T61" s="2">
        <v>12.48</v>
      </c>
      <c r="V61" s="2">
        <v>1.94</v>
      </c>
      <c r="W61" s="2">
        <v>0.01</v>
      </c>
      <c r="X61" s="2">
        <v>0.04</v>
      </c>
      <c r="Y61" s="2">
        <v>0.33</v>
      </c>
      <c r="Z61" s="2">
        <v>4.0999999999999996</v>
      </c>
      <c r="AA61" s="2">
        <v>4.54</v>
      </c>
      <c r="AB61" s="2">
        <v>1.22</v>
      </c>
      <c r="AC61" s="2">
        <v>0</v>
      </c>
      <c r="AD61" s="2">
        <v>1.35</v>
      </c>
      <c r="AE61" s="2">
        <v>1.69</v>
      </c>
      <c r="AF61" s="2">
        <v>11.74</v>
      </c>
      <c r="AG61" s="3">
        <f t="shared" si="36"/>
        <v>1.267725184741362</v>
      </c>
      <c r="AH61" s="3">
        <f t="shared" si="37"/>
        <v>6.2605647029362061E-4</v>
      </c>
      <c r="AI61" s="3">
        <f t="shared" si="38"/>
        <v>0.2447994821549416</v>
      </c>
      <c r="AJ61" s="3">
        <f t="shared" si="8"/>
        <v>2.4297532047067075E-3</v>
      </c>
      <c r="AK61" s="3">
        <f t="shared" si="9"/>
        <v>2.430265575413396E-2</v>
      </c>
      <c r="AL61" s="3">
        <f t="shared" si="10"/>
        <v>1.4097015661784402E-4</v>
      </c>
      <c r="AM61" s="3">
        <f t="shared" si="11"/>
        <v>9.9245732433505358E-4</v>
      </c>
      <c r="AN61" s="3">
        <f t="shared" si="12"/>
        <v>5.8847655901706581E-3</v>
      </c>
      <c r="AO61" s="3">
        <f t="shared" si="13"/>
        <v>0.13230287678084512</v>
      </c>
      <c r="AP61" s="3">
        <f t="shared" si="14"/>
        <v>9.6395774722649832E-2</v>
      </c>
      <c r="AQ61" s="6">
        <f t="shared" si="15"/>
        <v>2.9105095028773512E-2</v>
      </c>
      <c r="AR61" s="6">
        <f t="shared" si="39"/>
        <v>1.7755999769000559</v>
      </c>
      <c r="AS61" s="8">
        <f t="shared" si="40"/>
        <v>-29.490868806282585</v>
      </c>
      <c r="AT61" s="4">
        <f t="shared" si="41"/>
        <v>1.5569634261697117E-13</v>
      </c>
      <c r="AU61" s="4">
        <f t="shared" si="42"/>
        <v>1.5569634261697116E-9</v>
      </c>
      <c r="AV61" s="3">
        <f t="shared" si="17"/>
        <v>-8.8077215891012663</v>
      </c>
    </row>
    <row r="62" spans="1:48">
      <c r="A62" s="2" t="s">
        <v>470</v>
      </c>
      <c r="C62" s="2">
        <v>1400</v>
      </c>
      <c r="D62" s="3">
        <f t="shared" si="35"/>
        <v>5.9767504407853451</v>
      </c>
      <c r="E62" s="2">
        <v>1</v>
      </c>
      <c r="F62" s="2">
        <v>12240</v>
      </c>
      <c r="G62" s="2">
        <v>2.0099999999999998</v>
      </c>
      <c r="I62" s="2">
        <v>10400</v>
      </c>
      <c r="J62" s="2">
        <f>3.85 * 10^(-9)</f>
        <v>3.8500000000000006E-9</v>
      </c>
      <c r="L62" s="3">
        <f t="shared" si="19"/>
        <v>-8.414539270491499</v>
      </c>
      <c r="M62" s="3"/>
      <c r="N62" s="3"/>
      <c r="O62" s="3"/>
      <c r="P62" s="3"/>
      <c r="R62" s="2">
        <v>76.17</v>
      </c>
      <c r="S62" s="2">
        <v>0.05</v>
      </c>
      <c r="T62" s="2">
        <v>12.48</v>
      </c>
      <c r="V62" s="2">
        <v>1.94</v>
      </c>
      <c r="W62" s="2">
        <v>0.01</v>
      </c>
      <c r="X62" s="2">
        <v>0.04</v>
      </c>
      <c r="Y62" s="2">
        <v>0.33</v>
      </c>
      <c r="Z62" s="2">
        <v>4.0999999999999996</v>
      </c>
      <c r="AA62" s="2">
        <v>4.54</v>
      </c>
      <c r="AB62" s="2">
        <v>1.22</v>
      </c>
      <c r="AC62" s="2">
        <v>0</v>
      </c>
      <c r="AD62" s="2">
        <v>1.35</v>
      </c>
      <c r="AE62" s="2">
        <v>1.69</v>
      </c>
      <c r="AF62" s="2">
        <v>11.74</v>
      </c>
      <c r="AG62" s="3">
        <f t="shared" si="36"/>
        <v>1.267725184741362</v>
      </c>
      <c r="AH62" s="3">
        <f t="shared" si="37"/>
        <v>6.2605647029362061E-4</v>
      </c>
      <c r="AI62" s="3">
        <f t="shared" si="38"/>
        <v>0.2447994821549416</v>
      </c>
      <c r="AJ62" s="3">
        <f t="shared" si="8"/>
        <v>2.4297532047067075E-3</v>
      </c>
      <c r="AK62" s="3">
        <f t="shared" si="9"/>
        <v>2.430265575413396E-2</v>
      </c>
      <c r="AL62" s="3">
        <f t="shared" si="10"/>
        <v>1.4097015661784402E-4</v>
      </c>
      <c r="AM62" s="3">
        <f t="shared" si="11"/>
        <v>9.9245732433505358E-4</v>
      </c>
      <c r="AN62" s="3">
        <f t="shared" si="12"/>
        <v>5.8847655901706581E-3</v>
      </c>
      <c r="AO62" s="3">
        <f t="shared" si="13"/>
        <v>0.13230287678084512</v>
      </c>
      <c r="AP62" s="3">
        <f t="shared" si="14"/>
        <v>9.6395774722649832E-2</v>
      </c>
      <c r="AQ62" s="6">
        <f t="shared" si="15"/>
        <v>2.9105095028773512E-2</v>
      </c>
      <c r="AR62" s="6">
        <f t="shared" si="39"/>
        <v>1.7755999769000559</v>
      </c>
      <c r="AS62" s="8">
        <f t="shared" si="40"/>
        <v>-28.265020419375261</v>
      </c>
      <c r="AT62" s="4">
        <f t="shared" si="41"/>
        <v>5.3046605835972264E-13</v>
      </c>
      <c r="AU62" s="4">
        <f t="shared" si="42"/>
        <v>5.3046605835972264E-9</v>
      </c>
      <c r="AV62" s="3">
        <f t="shared" si="17"/>
        <v>-8.2753423990174131</v>
      </c>
    </row>
    <row r="63" spans="1:48">
      <c r="A63" s="2" t="s">
        <v>471</v>
      </c>
      <c r="C63" s="2">
        <v>1400</v>
      </c>
      <c r="D63" s="3">
        <f t="shared" si="35"/>
        <v>5.9767504407853451</v>
      </c>
      <c r="E63" s="2">
        <v>1</v>
      </c>
      <c r="F63" s="2">
        <v>12600</v>
      </c>
      <c r="G63" s="2">
        <v>2.42</v>
      </c>
      <c r="I63" s="2">
        <v>7700</v>
      </c>
      <c r="J63" s="2">
        <f>3.34 * 10^(-9)</f>
        <v>3.34E-9</v>
      </c>
      <c r="L63" s="3">
        <f t="shared" si="19"/>
        <v>-8.4762535331884354</v>
      </c>
      <c r="M63" s="3"/>
      <c r="N63" s="3"/>
      <c r="O63" s="3"/>
      <c r="P63" s="3"/>
      <c r="R63" s="2">
        <v>76.17</v>
      </c>
      <c r="S63" s="2">
        <v>0.05</v>
      </c>
      <c r="T63" s="2">
        <v>12.48</v>
      </c>
      <c r="V63" s="2">
        <v>1.94</v>
      </c>
      <c r="W63" s="2">
        <v>0.01</v>
      </c>
      <c r="X63" s="2">
        <v>0.04</v>
      </c>
      <c r="Y63" s="2">
        <v>0.33</v>
      </c>
      <c r="Z63" s="2">
        <v>4.0999999999999996</v>
      </c>
      <c r="AA63" s="2">
        <v>4.54</v>
      </c>
      <c r="AB63" s="2">
        <v>1.22</v>
      </c>
      <c r="AC63" s="2">
        <v>0</v>
      </c>
      <c r="AD63" s="2">
        <v>1.35</v>
      </c>
      <c r="AE63" s="2">
        <v>1.69</v>
      </c>
      <c r="AF63" s="2">
        <v>11.74</v>
      </c>
      <c r="AG63" s="3">
        <f t="shared" si="36"/>
        <v>1.267725184741362</v>
      </c>
      <c r="AH63" s="3">
        <f t="shared" si="37"/>
        <v>6.2605647029362061E-4</v>
      </c>
      <c r="AI63" s="3">
        <f t="shared" si="38"/>
        <v>0.2447994821549416</v>
      </c>
      <c r="AJ63" s="3">
        <f t="shared" si="8"/>
        <v>2.4297532047067075E-3</v>
      </c>
      <c r="AK63" s="3">
        <f t="shared" si="9"/>
        <v>2.430265575413396E-2</v>
      </c>
      <c r="AL63" s="3">
        <f t="shared" si="10"/>
        <v>1.4097015661784402E-4</v>
      </c>
      <c r="AM63" s="3">
        <f t="shared" si="11"/>
        <v>9.9245732433505358E-4</v>
      </c>
      <c r="AN63" s="3">
        <f t="shared" si="12"/>
        <v>5.8847655901706581E-3</v>
      </c>
      <c r="AO63" s="3">
        <f t="shared" si="13"/>
        <v>0.13230287678084512</v>
      </c>
      <c r="AP63" s="3">
        <f t="shared" si="14"/>
        <v>9.6395774722649832E-2</v>
      </c>
      <c r="AQ63" s="6">
        <f t="shared" si="15"/>
        <v>2.9105095028773512E-2</v>
      </c>
      <c r="AR63" s="6">
        <f t="shared" si="39"/>
        <v>1.7755999769000559</v>
      </c>
      <c r="AS63" s="8">
        <f t="shared" si="40"/>
        <v>-28.132999458401628</v>
      </c>
      <c r="AT63" s="4">
        <f t="shared" si="41"/>
        <v>6.0533192049662428E-13</v>
      </c>
      <c r="AU63" s="4">
        <f t="shared" si="42"/>
        <v>6.0533192049662432E-9</v>
      </c>
      <c r="AV63" s="3">
        <f t="shared" si="17"/>
        <v>-8.2180064241709996</v>
      </c>
    </row>
    <row r="64" spans="1:48"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6"/>
      <c r="AR64" s="6"/>
      <c r="AV64" s="3"/>
    </row>
    <row r="65" spans="1:48">
      <c r="A65" s="1" t="s">
        <v>472</v>
      </c>
      <c r="B65" s="1"/>
      <c r="R65" s="1" t="s">
        <v>6</v>
      </c>
      <c r="S65" s="1" t="s">
        <v>12</v>
      </c>
      <c r="T65" s="1" t="s">
        <v>5</v>
      </c>
      <c r="U65" s="1"/>
      <c r="V65" s="1" t="s">
        <v>10</v>
      </c>
      <c r="W65" s="1" t="s">
        <v>9</v>
      </c>
      <c r="X65" s="1" t="s">
        <v>11</v>
      </c>
      <c r="Y65" s="1" t="s">
        <v>8</v>
      </c>
      <c r="Z65" s="1" t="s">
        <v>4</v>
      </c>
      <c r="AA65" s="1" t="s">
        <v>7</v>
      </c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6"/>
      <c r="AR65" s="6"/>
      <c r="AV65" s="3"/>
    </row>
    <row r="66" spans="1:48">
      <c r="A66" s="2" t="s">
        <v>473</v>
      </c>
      <c r="C66" s="2">
        <v>1350</v>
      </c>
      <c r="D66" s="3">
        <f t="shared" ref="D66:D71" si="43">10000/(C66+273.15)</f>
        <v>6.160860056063826</v>
      </c>
      <c r="E66" s="2">
        <f t="shared" ref="E66:E71" si="44">0.001/1000</f>
        <v>9.9999999999999995E-7</v>
      </c>
      <c r="F66" s="2">
        <f>100*60</f>
        <v>6000</v>
      </c>
      <c r="G66" s="2">
        <v>0</v>
      </c>
      <c r="J66" s="4">
        <f>0.57*10^(-7)</f>
        <v>5.6999999999999994E-8</v>
      </c>
      <c r="K66" s="4"/>
      <c r="L66" s="3">
        <f t="shared" ref="L66:L71" si="45">LOG(J66)</f>
        <v>-7.2441251443275085</v>
      </c>
      <c r="M66" s="3"/>
      <c r="N66" s="3"/>
      <c r="O66" s="3"/>
      <c r="P66" s="3"/>
      <c r="R66" s="2">
        <v>47.7</v>
      </c>
      <c r="S66" s="2">
        <v>0</v>
      </c>
      <c r="T66" s="2">
        <v>16</v>
      </c>
      <c r="V66" s="2">
        <v>0</v>
      </c>
      <c r="W66" s="2">
        <v>0</v>
      </c>
      <c r="X66" s="2">
        <v>16.399999999999999</v>
      </c>
      <c r="Y66" s="2">
        <v>19.2</v>
      </c>
      <c r="Z66" s="2">
        <v>0</v>
      </c>
      <c r="AA66" s="2">
        <v>0</v>
      </c>
      <c r="AB66" s="2">
        <v>0</v>
      </c>
      <c r="AC66" s="2">
        <v>0</v>
      </c>
      <c r="AD66" s="2">
        <v>5.0999999999999996</v>
      </c>
      <c r="AF66" s="2">
        <v>1.69</v>
      </c>
      <c r="AG66" s="3">
        <f t="shared" ref="AG66:AG71" si="46">R66/(28.086+15.999*2)</f>
        <v>0.79388855602156982</v>
      </c>
      <c r="AH66" s="3">
        <f t="shared" ref="AH66:AH71" si="47">S66/(47.867+15.999*2)</f>
        <v>0</v>
      </c>
      <c r="AI66" s="3">
        <f t="shared" ref="AI66:AI71" si="48">T66/(26.982*2+15.999*3)*2</f>
        <v>0.31384548994223282</v>
      </c>
      <c r="AJ66" s="3">
        <f t="shared" si="8"/>
        <v>0</v>
      </c>
      <c r="AK66" s="3">
        <f t="shared" si="9"/>
        <v>0</v>
      </c>
      <c r="AL66" s="3">
        <f t="shared" si="10"/>
        <v>0</v>
      </c>
      <c r="AM66" s="3">
        <f t="shared" si="11"/>
        <v>0.40690750297737194</v>
      </c>
      <c r="AN66" s="3">
        <f t="shared" si="12"/>
        <v>0.34238636160992914</v>
      </c>
      <c r="AO66" s="3">
        <f t="shared" si="13"/>
        <v>0</v>
      </c>
      <c r="AP66" s="3">
        <f t="shared" si="14"/>
        <v>0</v>
      </c>
      <c r="AQ66" s="6">
        <f t="shared" si="15"/>
        <v>1.0695186660996452</v>
      </c>
      <c r="AR66" s="6">
        <f t="shared" ref="AR66:AR71" si="49">SUM(AG66:AP66)</f>
        <v>1.8570279105511038</v>
      </c>
      <c r="AS66" s="8">
        <f t="shared" ref="AS66:AS71" si="50">-13.95+5.15*(G66/(1.007975*2+15.999)*2+4.1*(Y66/(40.078+15.999))-(X66/(24.3055+15.999)))/AR66-((36475*((R66/(28.085+15.999*2))+(T66/(26.982*2+15.999*3))*2-(1.8*(V66/(55.845+15.999))))/AR66)-11088*E66*(((R66/(28.085+15.999))+(T66/(26.982*2+15.999*3))*2)/AR66-2/3))/(C66+273.15)</f>
        <v>-24.590154387719728</v>
      </c>
      <c r="AT66" s="4">
        <f t="shared" ref="AT66:AT71" si="51">EXP(AS66)</f>
        <v>2.0923370253581203E-11</v>
      </c>
      <c r="AU66" s="4">
        <f t="shared" ref="AU66:AU71" si="52">AT66*10000</f>
        <v>2.0923370253581204E-7</v>
      </c>
      <c r="AV66" s="3">
        <f t="shared" si="17"/>
        <v>-6.6793683597357143</v>
      </c>
    </row>
    <row r="67" spans="1:48">
      <c r="A67" s="2" t="s">
        <v>474</v>
      </c>
      <c r="C67" s="2">
        <v>1400</v>
      </c>
      <c r="D67" s="3">
        <f t="shared" si="43"/>
        <v>5.9767504407853451</v>
      </c>
      <c r="E67" s="2">
        <f t="shared" si="44"/>
        <v>9.9999999999999995E-7</v>
      </c>
      <c r="F67" s="2">
        <f>10*60</f>
        <v>600</v>
      </c>
      <c r="G67" s="2">
        <v>0</v>
      </c>
      <c r="J67" s="4">
        <f>1.14*10^(-7)</f>
        <v>1.1399999999999999E-7</v>
      </c>
      <c r="K67" s="4"/>
      <c r="L67" s="3">
        <f t="shared" si="45"/>
        <v>-6.9430951486635273</v>
      </c>
      <c r="M67" s="3"/>
      <c r="N67" s="3"/>
      <c r="O67" s="3"/>
      <c r="P67" s="3"/>
      <c r="R67" s="2">
        <v>47.7</v>
      </c>
      <c r="S67" s="2">
        <v>0</v>
      </c>
      <c r="T67" s="2">
        <v>16</v>
      </c>
      <c r="V67" s="2">
        <v>0</v>
      </c>
      <c r="W67" s="2">
        <v>0</v>
      </c>
      <c r="X67" s="2">
        <v>16.399999999999999</v>
      </c>
      <c r="Y67" s="2">
        <v>19.2</v>
      </c>
      <c r="Z67" s="2">
        <v>0</v>
      </c>
      <c r="AA67" s="2">
        <v>0</v>
      </c>
      <c r="AB67" s="2">
        <v>0</v>
      </c>
      <c r="AC67" s="2">
        <v>0</v>
      </c>
      <c r="AD67" s="2">
        <v>5.0999999999999996</v>
      </c>
      <c r="AF67" s="2">
        <v>1.69</v>
      </c>
      <c r="AG67" s="3">
        <f t="shared" si="46"/>
        <v>0.79388855602156982</v>
      </c>
      <c r="AH67" s="3">
        <f t="shared" si="47"/>
        <v>0</v>
      </c>
      <c r="AI67" s="3">
        <f t="shared" si="48"/>
        <v>0.31384548994223282</v>
      </c>
      <c r="AJ67" s="3">
        <f t="shared" si="8"/>
        <v>0</v>
      </c>
      <c r="AK67" s="3">
        <f t="shared" si="9"/>
        <v>0</v>
      </c>
      <c r="AL67" s="3">
        <f t="shared" si="10"/>
        <v>0</v>
      </c>
      <c r="AM67" s="3">
        <f t="shared" si="11"/>
        <v>0.40690750297737194</v>
      </c>
      <c r="AN67" s="3">
        <f t="shared" si="12"/>
        <v>0.34238636160992914</v>
      </c>
      <c r="AO67" s="3">
        <f t="shared" si="13"/>
        <v>0</v>
      </c>
      <c r="AP67" s="3">
        <f t="shared" si="14"/>
        <v>0</v>
      </c>
      <c r="AQ67" s="6">
        <f t="shared" si="15"/>
        <v>1.0695186660996452</v>
      </c>
      <c r="AR67" s="6">
        <f t="shared" si="49"/>
        <v>1.8570279105511038</v>
      </c>
      <c r="AS67" s="8">
        <f t="shared" si="50"/>
        <v>-24.18957001282336</v>
      </c>
      <c r="AT67" s="4">
        <f t="shared" si="51"/>
        <v>3.1232246511229422E-11</v>
      </c>
      <c r="AU67" s="4">
        <f t="shared" si="52"/>
        <v>3.123224651122942E-7</v>
      </c>
      <c r="AV67" s="3">
        <f t="shared" si="17"/>
        <v>-6.5053967761815574</v>
      </c>
    </row>
    <row r="68" spans="1:48">
      <c r="A68" s="2" t="s">
        <v>475</v>
      </c>
      <c r="C68" s="2">
        <v>1400</v>
      </c>
      <c r="D68" s="3">
        <f t="shared" si="43"/>
        <v>5.9767504407853451</v>
      </c>
      <c r="E68" s="2">
        <f t="shared" si="44"/>
        <v>9.9999999999999995E-7</v>
      </c>
      <c r="F68" s="2">
        <f>100*60</f>
        <v>6000</v>
      </c>
      <c r="G68" s="2">
        <v>0</v>
      </c>
      <c r="J68" s="4">
        <f>1.11*10^(-7)</f>
        <v>1.11E-7</v>
      </c>
      <c r="K68" s="4"/>
      <c r="L68" s="3">
        <f t="shared" si="45"/>
        <v>-6.9546770212133424</v>
      </c>
      <c r="M68" s="3"/>
      <c r="N68" s="3"/>
      <c r="O68" s="3"/>
      <c r="P68" s="3"/>
      <c r="R68" s="2">
        <v>47.7</v>
      </c>
      <c r="S68" s="2">
        <v>0</v>
      </c>
      <c r="T68" s="2">
        <v>16</v>
      </c>
      <c r="V68" s="2">
        <v>0</v>
      </c>
      <c r="W68" s="2">
        <v>0</v>
      </c>
      <c r="X68" s="2">
        <v>16.399999999999999</v>
      </c>
      <c r="Y68" s="2">
        <v>19.2</v>
      </c>
      <c r="Z68" s="2">
        <v>0</v>
      </c>
      <c r="AA68" s="2">
        <v>0</v>
      </c>
      <c r="AB68" s="2">
        <v>0</v>
      </c>
      <c r="AC68" s="2">
        <v>0</v>
      </c>
      <c r="AD68" s="2">
        <v>5.0999999999999996</v>
      </c>
      <c r="AF68" s="2">
        <v>1.69</v>
      </c>
      <c r="AG68" s="3">
        <f t="shared" si="46"/>
        <v>0.79388855602156982</v>
      </c>
      <c r="AH68" s="3">
        <f t="shared" si="47"/>
        <v>0</v>
      </c>
      <c r="AI68" s="3">
        <f t="shared" si="48"/>
        <v>0.31384548994223282</v>
      </c>
      <c r="AJ68" s="3">
        <f t="shared" si="8"/>
        <v>0</v>
      </c>
      <c r="AK68" s="3">
        <f t="shared" si="9"/>
        <v>0</v>
      </c>
      <c r="AL68" s="3">
        <f t="shared" si="10"/>
        <v>0</v>
      </c>
      <c r="AM68" s="3">
        <f t="shared" si="11"/>
        <v>0.40690750297737194</v>
      </c>
      <c r="AN68" s="3">
        <f t="shared" si="12"/>
        <v>0.34238636160992914</v>
      </c>
      <c r="AO68" s="3">
        <f t="shared" si="13"/>
        <v>0</v>
      </c>
      <c r="AP68" s="3">
        <f t="shared" si="14"/>
        <v>0</v>
      </c>
      <c r="AQ68" s="6">
        <f t="shared" si="15"/>
        <v>1.0695186660996452</v>
      </c>
      <c r="AR68" s="6">
        <f t="shared" si="49"/>
        <v>1.8570279105511038</v>
      </c>
      <c r="AS68" s="8">
        <f t="shared" si="50"/>
        <v>-24.18957001282336</v>
      </c>
      <c r="AT68" s="4">
        <f t="shared" si="51"/>
        <v>3.1232246511229422E-11</v>
      </c>
      <c r="AU68" s="4">
        <f t="shared" si="52"/>
        <v>3.123224651122942E-7</v>
      </c>
      <c r="AV68" s="3">
        <f t="shared" si="17"/>
        <v>-6.5053967761815574</v>
      </c>
    </row>
    <row r="69" spans="1:48">
      <c r="A69" s="2" t="s">
        <v>476</v>
      </c>
      <c r="C69" s="2">
        <v>1450</v>
      </c>
      <c r="D69" s="3">
        <f t="shared" si="43"/>
        <v>5.8033253053999942</v>
      </c>
      <c r="E69" s="2">
        <f t="shared" si="44"/>
        <v>9.9999999999999995E-7</v>
      </c>
      <c r="F69" s="2">
        <f>60*60</f>
        <v>3600</v>
      </c>
      <c r="G69" s="2">
        <v>0</v>
      </c>
      <c r="J69" s="4">
        <f>1.98*10^(-7)</f>
        <v>1.98E-7</v>
      </c>
      <c r="K69" s="4"/>
      <c r="L69" s="3">
        <f t="shared" si="45"/>
        <v>-6.7033348097384691</v>
      </c>
      <c r="M69" s="3"/>
      <c r="N69" s="3"/>
      <c r="O69" s="3"/>
      <c r="P69" s="3"/>
      <c r="R69" s="2">
        <v>47.7</v>
      </c>
      <c r="S69" s="2">
        <v>0</v>
      </c>
      <c r="T69" s="2">
        <v>16</v>
      </c>
      <c r="V69" s="2">
        <v>0</v>
      </c>
      <c r="W69" s="2">
        <v>0</v>
      </c>
      <c r="X69" s="2">
        <v>16.399999999999999</v>
      </c>
      <c r="Y69" s="2">
        <v>19.2</v>
      </c>
      <c r="Z69" s="2">
        <v>0</v>
      </c>
      <c r="AA69" s="2">
        <v>0</v>
      </c>
      <c r="AB69" s="2">
        <v>0</v>
      </c>
      <c r="AC69" s="2">
        <v>0</v>
      </c>
      <c r="AD69" s="2">
        <v>5.0999999999999996</v>
      </c>
      <c r="AF69" s="2">
        <v>1.69</v>
      </c>
      <c r="AG69" s="3">
        <f t="shared" si="46"/>
        <v>0.79388855602156982</v>
      </c>
      <c r="AH69" s="3">
        <f t="shared" si="47"/>
        <v>0</v>
      </c>
      <c r="AI69" s="3">
        <f t="shared" si="48"/>
        <v>0.31384548994223282</v>
      </c>
      <c r="AJ69" s="3">
        <f t="shared" si="8"/>
        <v>0</v>
      </c>
      <c r="AK69" s="3">
        <f t="shared" si="9"/>
        <v>0</v>
      </c>
      <c r="AL69" s="3">
        <f t="shared" si="10"/>
        <v>0</v>
      </c>
      <c r="AM69" s="3">
        <f t="shared" si="11"/>
        <v>0.40690750297737194</v>
      </c>
      <c r="AN69" s="3">
        <f t="shared" si="12"/>
        <v>0.34238636160992914</v>
      </c>
      <c r="AO69" s="3">
        <f t="shared" si="13"/>
        <v>0</v>
      </c>
      <c r="AP69" s="3">
        <f t="shared" si="14"/>
        <v>0</v>
      </c>
      <c r="AQ69" s="6">
        <f t="shared" si="15"/>
        <v>1.0695186660996452</v>
      </c>
      <c r="AR69" s="6">
        <f t="shared" si="49"/>
        <v>1.8570279105511038</v>
      </c>
      <c r="AS69" s="8">
        <f t="shared" si="50"/>
        <v>-23.812232852324833</v>
      </c>
      <c r="AT69" s="4">
        <f t="shared" si="51"/>
        <v>4.5548981508729254E-11</v>
      </c>
      <c r="AU69" s="4">
        <f t="shared" si="52"/>
        <v>4.5548981508729254E-7</v>
      </c>
      <c r="AV69" s="3">
        <f t="shared" si="17"/>
        <v>-6.3415213295600061</v>
      </c>
    </row>
    <row r="70" spans="1:48">
      <c r="A70" s="2" t="s">
        <v>477</v>
      </c>
      <c r="C70" s="2">
        <v>1500</v>
      </c>
      <c r="D70" s="3">
        <f t="shared" si="43"/>
        <v>5.6396807940670559</v>
      </c>
      <c r="E70" s="2">
        <f t="shared" si="44"/>
        <v>9.9999999999999995E-7</v>
      </c>
      <c r="F70" s="2">
        <f>10*60</f>
        <v>600</v>
      </c>
      <c r="G70" s="2">
        <v>0</v>
      </c>
      <c r="J70" s="4">
        <f>2.5*10^(-7)</f>
        <v>2.4999999999999999E-7</v>
      </c>
      <c r="K70" s="4"/>
      <c r="L70" s="3">
        <f t="shared" si="45"/>
        <v>-6.6020599913279625</v>
      </c>
      <c r="M70" s="3"/>
      <c r="N70" s="3"/>
      <c r="O70" s="3"/>
      <c r="P70" s="3"/>
      <c r="R70" s="2">
        <v>47.7</v>
      </c>
      <c r="S70" s="2">
        <v>0</v>
      </c>
      <c r="T70" s="2">
        <v>16</v>
      </c>
      <c r="V70" s="2">
        <v>0</v>
      </c>
      <c r="W70" s="2">
        <v>0</v>
      </c>
      <c r="X70" s="2">
        <v>16.399999999999999</v>
      </c>
      <c r="Y70" s="2">
        <v>19.2</v>
      </c>
      <c r="Z70" s="2">
        <v>0</v>
      </c>
      <c r="AA70" s="2">
        <v>0</v>
      </c>
      <c r="AB70" s="2">
        <v>0</v>
      </c>
      <c r="AC70" s="2">
        <v>0</v>
      </c>
      <c r="AD70" s="2">
        <v>5.0999999999999996</v>
      </c>
      <c r="AF70" s="2">
        <v>1.69</v>
      </c>
      <c r="AG70" s="3">
        <f t="shared" si="46"/>
        <v>0.79388855602156982</v>
      </c>
      <c r="AH70" s="3">
        <f t="shared" si="47"/>
        <v>0</v>
      </c>
      <c r="AI70" s="3">
        <f t="shared" si="48"/>
        <v>0.31384548994223282</v>
      </c>
      <c r="AJ70" s="3">
        <f t="shared" ref="AJ70:AJ91" si="53">V70/(55.845*2+15.999*3)*2*0.1</f>
        <v>0</v>
      </c>
      <c r="AK70" s="3">
        <f t="shared" ref="AK70:AK91" si="54">V70/(55.845+15.999)*0.9</f>
        <v>0</v>
      </c>
      <c r="AL70" s="3">
        <f t="shared" ref="AL70:AL92" si="55">W70/(54.938+15.999)</f>
        <v>0</v>
      </c>
      <c r="AM70" s="3">
        <f t="shared" ref="AM70:AM92" si="56">X70/(24.305+15.999)</f>
        <v>0.40690750297737194</v>
      </c>
      <c r="AN70" s="3">
        <f t="shared" ref="AN70:AN92" si="57">Y70/(40.078+15.999)</f>
        <v>0.34238636160992914</v>
      </c>
      <c r="AO70" s="3">
        <f t="shared" ref="AO70:AO92" si="58">Z70/(22.99*2+15.999)*2</f>
        <v>0</v>
      </c>
      <c r="AP70" s="3">
        <f t="shared" ref="AP70:AP92" si="59">AA70/(39.098*2+15.999)*2</f>
        <v>0</v>
      </c>
      <c r="AQ70" s="6">
        <f>(AO70+AP70+2*(AK70+AL70+AM70+AN70)-AJ70-AI70)/(AG70+AH70+AI70+AJ70)</f>
        <v>1.0695186660996452</v>
      </c>
      <c r="AR70" s="6">
        <f t="shared" si="49"/>
        <v>1.8570279105511038</v>
      </c>
      <c r="AS70" s="8">
        <f t="shared" si="50"/>
        <v>-23.456176303195814</v>
      </c>
      <c r="AT70" s="4">
        <f t="shared" si="51"/>
        <v>6.5029747089176128E-11</v>
      </c>
      <c r="AU70" s="4">
        <f t="shared" si="52"/>
        <v>6.5029747089176124E-7</v>
      </c>
      <c r="AV70" s="3">
        <f t="shared" ref="AV70:AV92" si="60">LOG(AU70)</f>
        <v>-6.1868879350277588</v>
      </c>
    </row>
    <row r="71" spans="1:48">
      <c r="A71" s="2" t="s">
        <v>478</v>
      </c>
      <c r="C71" s="2">
        <v>1500</v>
      </c>
      <c r="D71" s="3">
        <f t="shared" si="43"/>
        <v>5.6396807940670559</v>
      </c>
      <c r="E71" s="2">
        <f t="shared" si="44"/>
        <v>9.9999999999999995E-7</v>
      </c>
      <c r="F71" s="2">
        <f>60*60</f>
        <v>3600</v>
      </c>
      <c r="G71" s="2">
        <v>0</v>
      </c>
      <c r="J71" s="4">
        <f>2.15*10^(-7)</f>
        <v>2.1499999999999998E-7</v>
      </c>
      <c r="K71" s="4"/>
      <c r="L71" s="3">
        <f t="shared" si="45"/>
        <v>-6.6675615400843951</v>
      </c>
      <c r="M71" s="3"/>
      <c r="N71" s="3"/>
      <c r="O71" s="3"/>
      <c r="P71" s="3"/>
      <c r="R71" s="2">
        <v>47.7</v>
      </c>
      <c r="S71" s="2">
        <v>0</v>
      </c>
      <c r="T71" s="2">
        <v>16</v>
      </c>
      <c r="V71" s="2">
        <v>0</v>
      </c>
      <c r="W71" s="2">
        <v>0</v>
      </c>
      <c r="X71" s="2">
        <v>16.399999999999999</v>
      </c>
      <c r="Y71" s="2">
        <v>19.2</v>
      </c>
      <c r="Z71" s="2">
        <v>0</v>
      </c>
      <c r="AA71" s="2">
        <v>0</v>
      </c>
      <c r="AB71" s="2">
        <v>0</v>
      </c>
      <c r="AC71" s="2">
        <v>0</v>
      </c>
      <c r="AD71" s="2">
        <v>5.0999999999999996</v>
      </c>
      <c r="AF71" s="2">
        <v>1.69</v>
      </c>
      <c r="AG71" s="3">
        <f t="shared" si="46"/>
        <v>0.79388855602156982</v>
      </c>
      <c r="AH71" s="3">
        <f t="shared" si="47"/>
        <v>0</v>
      </c>
      <c r="AI71" s="3">
        <f t="shared" si="48"/>
        <v>0.31384548994223282</v>
      </c>
      <c r="AJ71" s="3">
        <f t="shared" si="53"/>
        <v>0</v>
      </c>
      <c r="AK71" s="3">
        <f t="shared" si="54"/>
        <v>0</v>
      </c>
      <c r="AL71" s="3">
        <f t="shared" si="55"/>
        <v>0</v>
      </c>
      <c r="AM71" s="3">
        <f t="shared" si="56"/>
        <v>0.40690750297737194</v>
      </c>
      <c r="AN71" s="3">
        <f t="shared" si="57"/>
        <v>0.34238636160992914</v>
      </c>
      <c r="AO71" s="3">
        <f t="shared" si="58"/>
        <v>0</v>
      </c>
      <c r="AP71" s="3">
        <f t="shared" si="59"/>
        <v>0</v>
      </c>
      <c r="AQ71" s="6">
        <f>(AO71+AP71+2*(AK71+AL71+AM71+AN71)-AJ71-AI71)/(AG71+AH71+AI71+AJ71)</f>
        <v>1.0695186660996452</v>
      </c>
      <c r="AR71" s="6">
        <f t="shared" si="49"/>
        <v>1.8570279105511038</v>
      </c>
      <c r="AS71" s="8">
        <f t="shared" si="50"/>
        <v>-23.456176303195814</v>
      </c>
      <c r="AT71" s="4">
        <f t="shared" si="51"/>
        <v>6.5029747089176128E-11</v>
      </c>
      <c r="AU71" s="4">
        <f t="shared" si="52"/>
        <v>6.5029747089176124E-7</v>
      </c>
      <c r="AV71" s="3">
        <f t="shared" si="60"/>
        <v>-6.1868879350277588</v>
      </c>
    </row>
    <row r="72" spans="1:48"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6"/>
      <c r="AR72" s="6"/>
      <c r="AV72" s="3"/>
    </row>
    <row r="73" spans="1:48"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6"/>
      <c r="AR73" s="6"/>
      <c r="AV73" s="3"/>
    </row>
    <row r="74" spans="1:48">
      <c r="A74" s="1" t="s">
        <v>479</v>
      </c>
      <c r="B74" s="1"/>
      <c r="C74" s="2">
        <v>1400</v>
      </c>
      <c r="D74" s="3">
        <f>10000/(C74+273.15)</f>
        <v>5.9767504407853451</v>
      </c>
      <c r="E74" s="2">
        <v>1.25</v>
      </c>
      <c r="F74" s="2">
        <f>4*60*60</f>
        <v>14400</v>
      </c>
      <c r="G74" s="2">
        <v>0</v>
      </c>
      <c r="J74" s="2">
        <f>1.54 * 10^(-9)</f>
        <v>1.5400000000000001E-9</v>
      </c>
      <c r="L74" s="3">
        <f>LOG(J74)</f>
        <v>-8.8124792791635365</v>
      </c>
      <c r="M74" s="3"/>
      <c r="Q74" s="2" t="s">
        <v>480</v>
      </c>
      <c r="R74" s="2">
        <v>58.61</v>
      </c>
      <c r="T74" s="2">
        <v>22.38</v>
      </c>
      <c r="Z74" s="2">
        <v>15.11</v>
      </c>
      <c r="AD74" s="2">
        <v>2.2000000000000002</v>
      </c>
      <c r="AF74" s="2">
        <v>6.7</v>
      </c>
      <c r="AG74" s="3">
        <f t="shared" ref="AG74:AG92" si="61">R74/(28.086+15.999*2)</f>
        <v>0.97546767858331662</v>
      </c>
      <c r="AH74" s="3">
        <f t="shared" ref="AH74:AH92" si="62">S74/(47.867+15.999*2)</f>
        <v>0</v>
      </c>
      <c r="AI74" s="3">
        <f t="shared" ref="AI74:AI92" si="63">T74/(26.982*2+15.999*3)*2</f>
        <v>0.43899137905669816</v>
      </c>
      <c r="AJ74" s="3">
        <f t="shared" si="53"/>
        <v>0</v>
      </c>
      <c r="AK74" s="3">
        <f t="shared" si="54"/>
        <v>0</v>
      </c>
      <c r="AL74" s="3">
        <f t="shared" si="55"/>
        <v>0</v>
      </c>
      <c r="AM74" s="3">
        <f t="shared" si="56"/>
        <v>0</v>
      </c>
      <c r="AN74" s="3">
        <f t="shared" si="57"/>
        <v>0</v>
      </c>
      <c r="AO74" s="3">
        <f t="shared" si="58"/>
        <v>0.48758450442891949</v>
      </c>
      <c r="AP74" s="3">
        <f t="shared" si="59"/>
        <v>0</v>
      </c>
      <c r="AQ74" s="6">
        <f t="shared" ref="AQ74:AQ92" si="64">(AO74+AP74+2*(AK74+AL74+AM74+AN74)-AJ74-AI74)/(AG74+AH74+AI74+AJ74)</f>
        <v>3.4354564813843101E-2</v>
      </c>
      <c r="AR74" s="6">
        <f>SUM(AG74:AP74)</f>
        <v>1.9020435620689344</v>
      </c>
      <c r="AS74" s="8">
        <f>-13.95+5.15*(G74/(1.007975*2+15.999)*2+4.1*(Y74/(40.078+15.999))-(X74/(24.3055+15.999)))/AR74-((36475*((R74/(28.085+15.999*2))+(T74/(26.982*2+15.999*3))*2-(1.8*(V74/(55.845+15.999))))/AR74)-11088*E74*(((R74/(28.085+15.999))+(T74/(26.982*2+15.999*3))*2)/AR74-2/3))/(C74+273.15)</f>
        <v>-27.982308426613471</v>
      </c>
      <c r="AT74" s="4">
        <f>EXP(AS74)</f>
        <v>7.037815208543681E-13</v>
      </c>
      <c r="AU74" s="4">
        <f>AT74*10000</f>
        <v>7.0378152085436811E-9</v>
      </c>
      <c r="AV74" s="3">
        <f t="shared" si="60"/>
        <v>-8.1525621405930959</v>
      </c>
    </row>
    <row r="75" spans="1:48">
      <c r="C75" s="2">
        <v>1400</v>
      </c>
      <c r="D75" s="3">
        <f>10000/(C75+273.15)</f>
        <v>5.9767504407853451</v>
      </c>
      <c r="E75" s="2">
        <v>1.5</v>
      </c>
      <c r="F75" s="2">
        <f>4*60*60</f>
        <v>14400</v>
      </c>
      <c r="G75" s="2">
        <v>0</v>
      </c>
      <c r="J75" s="2">
        <f>1.6 * 10^(-9)</f>
        <v>1.6000000000000003E-9</v>
      </c>
      <c r="L75" s="3">
        <f>LOG(J75)</f>
        <v>-8.795880017344075</v>
      </c>
      <c r="M75" s="3"/>
      <c r="Q75" s="2" t="s">
        <v>480</v>
      </c>
      <c r="R75" s="2">
        <v>58.61</v>
      </c>
      <c r="T75" s="2">
        <v>22.38</v>
      </c>
      <c r="Z75" s="2">
        <v>15.11</v>
      </c>
      <c r="AD75" s="2">
        <v>2.2000000000000002</v>
      </c>
      <c r="AF75" s="2">
        <v>6.7</v>
      </c>
      <c r="AG75" s="3">
        <f t="shared" si="61"/>
        <v>0.97546767858331662</v>
      </c>
      <c r="AH75" s="3">
        <f t="shared" si="62"/>
        <v>0</v>
      </c>
      <c r="AI75" s="3">
        <f t="shared" si="63"/>
        <v>0.43899137905669816</v>
      </c>
      <c r="AJ75" s="3">
        <f t="shared" si="53"/>
        <v>0</v>
      </c>
      <c r="AK75" s="3">
        <f t="shared" si="54"/>
        <v>0</v>
      </c>
      <c r="AL75" s="3">
        <f t="shared" si="55"/>
        <v>0</v>
      </c>
      <c r="AM75" s="3">
        <f t="shared" si="56"/>
        <v>0</v>
      </c>
      <c r="AN75" s="3">
        <f t="shared" si="57"/>
        <v>0</v>
      </c>
      <c r="AO75" s="3">
        <f t="shared" si="58"/>
        <v>0.48758450442891949</v>
      </c>
      <c r="AP75" s="3">
        <f t="shared" si="59"/>
        <v>0</v>
      </c>
      <c r="AQ75" s="6">
        <f t="shared" si="64"/>
        <v>3.4354564813843101E-2</v>
      </c>
      <c r="AR75" s="6">
        <f>SUM(AG75:AP75)</f>
        <v>1.9020435620689344</v>
      </c>
      <c r="AS75" s="8">
        <f>-13.95+5.15*(G75/(1.007975*2+15.999)*2+4.1*(Y75/(40.078+15.999))-(X75/(24.3055+15.999)))/AR75-((36475*((R75/(28.085+15.999*2))+(T75/(26.982*2+15.999*3))*2-(1.8*(V75/(55.845+15.999))))/AR75)-11088*E75*(((R75/(28.085+15.999))+(T75/(26.982*2+15.999*3))*2)/AR75-2/3))/(C75+273.15)</f>
        <v>-27.546379560775193</v>
      </c>
      <c r="AT75" s="4">
        <f>EXP(AS75)</f>
        <v>1.0883268916086888E-12</v>
      </c>
      <c r="AU75" s="4">
        <f>AT75*10000</f>
        <v>1.0883268916086888E-8</v>
      </c>
      <c r="AV75" s="3">
        <f t="shared" si="60"/>
        <v>-7.9632406396571884</v>
      </c>
    </row>
    <row r="76" spans="1:48">
      <c r="C76" s="2">
        <v>1400</v>
      </c>
      <c r="D76" s="3">
        <f>10000/(C76+273.15)</f>
        <v>5.9767504407853451</v>
      </c>
      <c r="E76" s="2">
        <v>2</v>
      </c>
      <c r="F76" s="2">
        <f>4*60*60</f>
        <v>14400</v>
      </c>
      <c r="G76" s="2">
        <v>0</v>
      </c>
      <c r="J76" s="2">
        <f>2.32 * 10^(-9)</f>
        <v>2.3199999999999998E-9</v>
      </c>
      <c r="L76" s="3">
        <f>LOG(J76)</f>
        <v>-8.6345120151091006</v>
      </c>
      <c r="M76" s="3"/>
      <c r="Q76" s="2" t="s">
        <v>480</v>
      </c>
      <c r="R76" s="2">
        <v>58.61</v>
      </c>
      <c r="T76" s="2">
        <v>22.38</v>
      </c>
      <c r="Z76" s="2">
        <v>15.11</v>
      </c>
      <c r="AD76" s="2">
        <v>2.2000000000000002</v>
      </c>
      <c r="AF76" s="2">
        <v>6.7</v>
      </c>
      <c r="AG76" s="3">
        <f t="shared" si="61"/>
        <v>0.97546767858331662</v>
      </c>
      <c r="AH76" s="3">
        <f t="shared" si="62"/>
        <v>0</v>
      </c>
      <c r="AI76" s="3">
        <f t="shared" si="63"/>
        <v>0.43899137905669816</v>
      </c>
      <c r="AJ76" s="3">
        <f t="shared" si="53"/>
        <v>0</v>
      </c>
      <c r="AK76" s="3">
        <f t="shared" si="54"/>
        <v>0</v>
      </c>
      <c r="AL76" s="3">
        <f t="shared" si="55"/>
        <v>0</v>
      </c>
      <c r="AM76" s="3">
        <f t="shared" si="56"/>
        <v>0</v>
      </c>
      <c r="AN76" s="3">
        <f t="shared" si="57"/>
        <v>0</v>
      </c>
      <c r="AO76" s="3">
        <f t="shared" si="58"/>
        <v>0.48758450442891949</v>
      </c>
      <c r="AP76" s="3">
        <f t="shared" si="59"/>
        <v>0</v>
      </c>
      <c r="AQ76" s="6">
        <f t="shared" si="64"/>
        <v>3.4354564813843101E-2</v>
      </c>
      <c r="AR76" s="6">
        <f>SUM(AG76:AP76)</f>
        <v>1.9020435620689344</v>
      </c>
      <c r="AS76" s="8">
        <f>-13.95+5.15*(G76/(1.007975*2+15.999)*2+4.1*(Y76/(40.078+15.999))-(X76/(24.3055+15.999)))/AR76-((36475*((R76/(28.085+15.999*2))+(T76/(26.982*2+15.999*3))*2-(1.8*(V76/(55.845+15.999))))/AR76)-11088*E76*(((R76/(28.085+15.999))+(T76/(26.982*2+15.999*3))*2)/AR76-2/3))/(C76+273.15)</f>
        <v>-26.674521829098641</v>
      </c>
      <c r="AT76" s="4">
        <f>EXP(AS76)</f>
        <v>2.6025696576851017E-12</v>
      </c>
      <c r="AU76" s="4">
        <f>AT76*10000</f>
        <v>2.6025696576851017E-8</v>
      </c>
      <c r="AV76" s="3">
        <f t="shared" si="60"/>
        <v>-7.5845976377853752</v>
      </c>
    </row>
    <row r="77" spans="1:48">
      <c r="AG77" s="3">
        <f t="shared" si="61"/>
        <v>0</v>
      </c>
      <c r="AH77" s="3">
        <f t="shared" si="62"/>
        <v>0</v>
      </c>
      <c r="AI77" s="3">
        <f t="shared" si="63"/>
        <v>0</v>
      </c>
      <c r="AJ77" s="3">
        <f t="shared" si="53"/>
        <v>0</v>
      </c>
      <c r="AK77" s="3">
        <f t="shared" si="54"/>
        <v>0</v>
      </c>
      <c r="AL77" s="3">
        <f t="shared" si="55"/>
        <v>0</v>
      </c>
      <c r="AM77" s="3">
        <f t="shared" si="56"/>
        <v>0</v>
      </c>
      <c r="AN77" s="3">
        <f t="shared" si="57"/>
        <v>0</v>
      </c>
      <c r="AO77" s="3">
        <f t="shared" si="58"/>
        <v>0</v>
      </c>
      <c r="AP77" s="3">
        <f t="shared" si="59"/>
        <v>0</v>
      </c>
      <c r="AQ77" s="6"/>
      <c r="AR77" s="6"/>
      <c r="AV77" s="3"/>
    </row>
    <row r="78" spans="1:48">
      <c r="A78" s="1" t="s">
        <v>481</v>
      </c>
      <c r="B78" s="1"/>
      <c r="C78" s="2">
        <v>1400</v>
      </c>
      <c r="D78" s="3">
        <f>10000/(C78+273.15)</f>
        <v>5.9767504407853451</v>
      </c>
      <c r="E78" s="2">
        <v>0.5</v>
      </c>
      <c r="G78" s="2">
        <v>4.8499999999999996</v>
      </c>
      <c r="J78" s="4">
        <f>(10^N78) * (EXP(-P78/(8.314*1673)))</f>
        <v>1.3307858345855513E-5</v>
      </c>
      <c r="K78" s="4"/>
      <c r="L78" s="3">
        <f>LOG(J78)</f>
        <v>-4.8758918305820478</v>
      </c>
      <c r="M78" s="3"/>
      <c r="N78" s="4">
        <f>-4.87</f>
        <v>-4.87</v>
      </c>
      <c r="O78" s="4"/>
      <c r="P78" s="2">
        <v>188.7</v>
      </c>
      <c r="Q78" s="2" t="s">
        <v>482</v>
      </c>
      <c r="R78" s="2">
        <v>62.09</v>
      </c>
      <c r="T78" s="2">
        <v>19.47</v>
      </c>
      <c r="X78" s="2">
        <v>2.5299999999999998</v>
      </c>
      <c r="Y78" s="2">
        <v>10.64</v>
      </c>
      <c r="Z78" s="2">
        <v>4.25</v>
      </c>
      <c r="AA78" s="2">
        <v>1.02</v>
      </c>
      <c r="AF78" s="2">
        <v>4.84</v>
      </c>
      <c r="AG78" s="3">
        <f t="shared" si="61"/>
        <v>1.0333865921043872</v>
      </c>
      <c r="AH78" s="3">
        <f t="shared" si="62"/>
        <v>0</v>
      </c>
      <c r="AI78" s="3">
        <f t="shared" si="63"/>
        <v>0.38191073057345454</v>
      </c>
      <c r="AJ78" s="3">
        <f t="shared" si="53"/>
        <v>0</v>
      </c>
      <c r="AK78" s="3">
        <f t="shared" si="54"/>
        <v>0</v>
      </c>
      <c r="AL78" s="3">
        <f t="shared" si="55"/>
        <v>0</v>
      </c>
      <c r="AM78" s="3">
        <f t="shared" si="56"/>
        <v>6.2772925764192133E-2</v>
      </c>
      <c r="AN78" s="3">
        <f t="shared" si="57"/>
        <v>0.18973910872550243</v>
      </c>
      <c r="AO78" s="3">
        <f t="shared" si="58"/>
        <v>0.13714322593136385</v>
      </c>
      <c r="AP78" s="3">
        <f t="shared" si="59"/>
        <v>2.1657200488348641E-2</v>
      </c>
      <c r="AQ78" s="6">
        <f t="shared" si="64"/>
        <v>0.1991904883224441</v>
      </c>
      <c r="AR78" s="6">
        <f>SUM(AG78:AP78)</f>
        <v>1.8266097835872488</v>
      </c>
      <c r="AS78" s="8">
        <f>-13.95+5.15*(G78/(1.007975*2+15.999)*2+4.1*(Y78/(40.078+15.999))-(X78/(24.3055+15.999)))/AR78-((36475*((R78/(28.085+15.999*2))+(T78/(26.982*2+15.999*3))*2-(1.8*(V78/(55.845+15.999))))/AR78)-11088*E78*(((R78/(28.085+15.999))+(T78/(26.982*2+15.999*3))*2)/AR78-2/3))/(C78+273.15)</f>
        <v>-26.268295642430957</v>
      </c>
      <c r="AT78" s="4">
        <f>EXP(AS78)</f>
        <v>3.9068267573991786E-12</v>
      </c>
      <c r="AU78" s="4">
        <f>AT78*10000</f>
        <v>3.9068267573991789E-8</v>
      </c>
      <c r="AV78" s="3">
        <f t="shared" si="60"/>
        <v>-7.4081758465109999</v>
      </c>
    </row>
    <row r="79" spans="1:48">
      <c r="AG79" s="3">
        <f t="shared" si="61"/>
        <v>0</v>
      </c>
      <c r="AH79" s="3">
        <f t="shared" si="62"/>
        <v>0</v>
      </c>
      <c r="AI79" s="3">
        <f t="shared" si="63"/>
        <v>0</v>
      </c>
      <c r="AJ79" s="3">
        <f t="shared" si="53"/>
        <v>0</v>
      </c>
      <c r="AK79" s="3">
        <f t="shared" si="54"/>
        <v>0</v>
      </c>
      <c r="AL79" s="3">
        <f t="shared" si="55"/>
        <v>0</v>
      </c>
      <c r="AM79" s="3">
        <f t="shared" si="56"/>
        <v>0</v>
      </c>
      <c r="AN79" s="3">
        <f t="shared" si="57"/>
        <v>0</v>
      </c>
      <c r="AO79" s="3">
        <f t="shared" si="58"/>
        <v>0</v>
      </c>
      <c r="AP79" s="3">
        <f t="shared" si="59"/>
        <v>0</v>
      </c>
      <c r="AQ79" s="6"/>
      <c r="AR79" s="6"/>
      <c r="AV79" s="3"/>
    </row>
    <row r="80" spans="1:48">
      <c r="AG80" s="3">
        <f t="shared" si="61"/>
        <v>0</v>
      </c>
      <c r="AH80" s="3">
        <f t="shared" si="62"/>
        <v>0</v>
      </c>
      <c r="AI80" s="3">
        <f t="shared" si="63"/>
        <v>0</v>
      </c>
      <c r="AJ80" s="3">
        <f t="shared" si="53"/>
        <v>0</v>
      </c>
      <c r="AK80" s="3">
        <f t="shared" si="54"/>
        <v>0</v>
      </c>
      <c r="AL80" s="3">
        <f t="shared" si="55"/>
        <v>0</v>
      </c>
      <c r="AM80" s="3">
        <f t="shared" si="56"/>
        <v>0</v>
      </c>
      <c r="AN80" s="3">
        <f t="shared" si="57"/>
        <v>0</v>
      </c>
      <c r="AO80" s="3">
        <f t="shared" si="58"/>
        <v>0</v>
      </c>
      <c r="AP80" s="3">
        <f t="shared" si="59"/>
        <v>0</v>
      </c>
      <c r="AQ80" s="6"/>
      <c r="AR80" s="6"/>
      <c r="AV80" s="3"/>
    </row>
    <row r="81" spans="1:48">
      <c r="A81" s="1" t="s">
        <v>483</v>
      </c>
      <c r="B81" s="1"/>
      <c r="AG81" s="3">
        <f t="shared" si="61"/>
        <v>0</v>
      </c>
      <c r="AH81" s="3">
        <f t="shared" si="62"/>
        <v>0</v>
      </c>
      <c r="AI81" s="3">
        <f t="shared" si="63"/>
        <v>0</v>
      </c>
      <c r="AJ81" s="3">
        <f t="shared" si="53"/>
        <v>0</v>
      </c>
      <c r="AK81" s="3">
        <f t="shared" si="54"/>
        <v>0</v>
      </c>
      <c r="AL81" s="3">
        <f t="shared" si="55"/>
        <v>0</v>
      </c>
      <c r="AM81" s="3">
        <f t="shared" si="56"/>
        <v>0</v>
      </c>
      <c r="AN81" s="3">
        <f t="shared" si="57"/>
        <v>0</v>
      </c>
      <c r="AO81" s="3">
        <f t="shared" si="58"/>
        <v>0</v>
      </c>
      <c r="AP81" s="3">
        <f t="shared" si="59"/>
        <v>0</v>
      </c>
      <c r="AQ81" s="6"/>
      <c r="AR81" s="6"/>
      <c r="AV81" s="3"/>
    </row>
    <row r="82" spans="1:48">
      <c r="A82" s="2" t="s">
        <v>484</v>
      </c>
      <c r="C82" s="2">
        <v>1137</v>
      </c>
      <c r="D82" s="3">
        <f t="shared" ref="D82:D92" si="65">10000/(C82+273.15)</f>
        <v>7.0914441726057511</v>
      </c>
      <c r="E82" s="2">
        <v>1</v>
      </c>
      <c r="G82" s="2">
        <v>0</v>
      </c>
      <c r="J82" s="5">
        <f>10^(-12.25)</f>
        <v>5.6234132519034702E-13</v>
      </c>
      <c r="K82" s="5"/>
      <c r="L82" s="3">
        <f>LOG(J82)</f>
        <v>-12.250000000000002</v>
      </c>
      <c r="M82" s="3"/>
      <c r="N82" s="2">
        <v>0.74</v>
      </c>
      <c r="P82" s="2">
        <v>352.92</v>
      </c>
      <c r="R82" s="2">
        <v>79.64</v>
      </c>
      <c r="T82" s="2">
        <v>11.33</v>
      </c>
      <c r="Z82" s="2">
        <v>4.88</v>
      </c>
      <c r="AA82" s="2">
        <v>4.1500000000000004</v>
      </c>
      <c r="AF82" s="2">
        <v>13.51</v>
      </c>
      <c r="AG82" s="3">
        <f t="shared" si="61"/>
        <v>1.3254776646028892</v>
      </c>
      <c r="AH82" s="3">
        <f t="shared" si="62"/>
        <v>0</v>
      </c>
      <c r="AI82" s="3">
        <f t="shared" si="63"/>
        <v>0.2222418375653436</v>
      </c>
      <c r="AJ82" s="3">
        <f t="shared" si="53"/>
        <v>0</v>
      </c>
      <c r="AK82" s="3">
        <f t="shared" si="54"/>
        <v>0</v>
      </c>
      <c r="AL82" s="3">
        <f t="shared" si="55"/>
        <v>0</v>
      </c>
      <c r="AM82" s="3">
        <f t="shared" si="56"/>
        <v>0</v>
      </c>
      <c r="AN82" s="3">
        <f t="shared" si="57"/>
        <v>0</v>
      </c>
      <c r="AO82" s="3">
        <f t="shared" si="58"/>
        <v>0.1574726923635425</v>
      </c>
      <c r="AP82" s="3">
        <f t="shared" si="59"/>
        <v>8.8115080418281241E-2</v>
      </c>
      <c r="AQ82" s="6">
        <f t="shared" si="64"/>
        <v>1.5084086737793469E-2</v>
      </c>
      <c r="AR82" s="6">
        <f t="shared" ref="AR82:AR90" si="66">SUM(AG82:AP82)</f>
        <v>1.7933072749500567</v>
      </c>
      <c r="AS82" s="8">
        <f t="shared" ref="AS82:AS90" si="67">-13.95+5.15*(G82/(1.007975*2+15.999)*2+4.1*(Y82/(40.078+15.999))-(X82/(24.3055+15.999)))/AR82-((36475*((R82/(28.085+15.999*2))+(T82/(26.982*2+15.999*3))*2-(1.8*(V82/(55.845+15.999))))/AR82)-11088*E82*(((R82/(28.085+15.999))+(T82/(26.982*2+15.999*3))*2)/AR82-2/3))/(C82+273.15)</f>
        <v>-32.620571918656523</v>
      </c>
      <c r="AT82" s="4">
        <f t="shared" ref="AT82:AT90" si="68">EXP(AS82)</f>
        <v>6.8087222648749209E-15</v>
      </c>
      <c r="AU82" s="4">
        <f t="shared" ref="AU82:AU90" si="69">AT82*10000</f>
        <v>6.8087222648749205E-11</v>
      </c>
      <c r="AV82" s="3">
        <f t="shared" si="60"/>
        <v>-10.166934380800701</v>
      </c>
    </row>
    <row r="83" spans="1:48">
      <c r="A83" s="2" t="s">
        <v>485</v>
      </c>
      <c r="C83" s="2">
        <v>1400</v>
      </c>
      <c r="D83" s="3">
        <f t="shared" si="65"/>
        <v>5.9767504407853451</v>
      </c>
      <c r="E83" s="2">
        <v>1</v>
      </c>
      <c r="G83" s="2">
        <v>0</v>
      </c>
      <c r="J83" s="5">
        <f>10^(-10.48)</f>
        <v>3.3113112148259015E-11</v>
      </c>
      <c r="K83" s="5"/>
      <c r="L83" s="3">
        <f>LOG(J83)</f>
        <v>-10.48</v>
      </c>
      <c r="M83" s="3"/>
      <c r="N83" s="2">
        <v>0.74</v>
      </c>
      <c r="P83" s="2">
        <v>352.92</v>
      </c>
      <c r="R83" s="2">
        <v>79.64</v>
      </c>
      <c r="T83" s="2">
        <v>11.33</v>
      </c>
      <c r="Z83" s="2">
        <v>4.88</v>
      </c>
      <c r="AA83" s="2">
        <v>4.1500000000000004</v>
      </c>
      <c r="AF83" s="2">
        <v>13.51</v>
      </c>
      <c r="AG83" s="3">
        <f t="shared" si="61"/>
        <v>1.3254776646028892</v>
      </c>
      <c r="AH83" s="3">
        <f t="shared" si="62"/>
        <v>0</v>
      </c>
      <c r="AI83" s="3">
        <f t="shared" si="63"/>
        <v>0.2222418375653436</v>
      </c>
      <c r="AJ83" s="3">
        <f t="shared" si="53"/>
        <v>0</v>
      </c>
      <c r="AK83" s="3">
        <f t="shared" si="54"/>
        <v>0</v>
      </c>
      <c r="AL83" s="3">
        <f t="shared" si="55"/>
        <v>0</v>
      </c>
      <c r="AM83" s="3">
        <f t="shared" si="56"/>
        <v>0</v>
      </c>
      <c r="AN83" s="3">
        <f t="shared" si="57"/>
        <v>0</v>
      </c>
      <c r="AO83" s="3">
        <f t="shared" si="58"/>
        <v>0.1574726923635425</v>
      </c>
      <c r="AP83" s="3">
        <f t="shared" si="59"/>
        <v>8.8115080418281241E-2</v>
      </c>
      <c r="AQ83" s="6">
        <f t="shared" si="64"/>
        <v>1.5084086737793469E-2</v>
      </c>
      <c r="AR83" s="6">
        <f t="shared" si="66"/>
        <v>1.7933072749500567</v>
      </c>
      <c r="AS83" s="8">
        <f t="shared" si="67"/>
        <v>-29.685772041414992</v>
      </c>
      <c r="AT83" s="4">
        <f t="shared" si="68"/>
        <v>1.281247442118923E-13</v>
      </c>
      <c r="AU83" s="4">
        <f t="shared" si="69"/>
        <v>1.2812474421189229E-9</v>
      </c>
      <c r="AV83" s="3">
        <f t="shared" si="60"/>
        <v>-8.8923669886243619</v>
      </c>
    </row>
    <row r="84" spans="1:48">
      <c r="A84" s="2" t="s">
        <v>486</v>
      </c>
      <c r="C84" s="2">
        <v>1500</v>
      </c>
      <c r="D84" s="3">
        <f t="shared" si="65"/>
        <v>5.6396807940670559</v>
      </c>
      <c r="E84" s="2">
        <v>1</v>
      </c>
      <c r="G84" s="2">
        <v>0</v>
      </c>
      <c r="J84" s="5">
        <f>10^(-9.67)</f>
        <v>2.1379620895022245E-10</v>
      </c>
      <c r="K84" s="5"/>
      <c r="L84" s="3">
        <f>LOG(J84)</f>
        <v>-9.6700000000000017</v>
      </c>
      <c r="M84" s="3"/>
      <c r="N84" s="2">
        <v>0.74</v>
      </c>
      <c r="P84" s="2">
        <v>352.92</v>
      </c>
      <c r="R84" s="2">
        <v>79.64</v>
      </c>
      <c r="T84" s="2">
        <v>11.33</v>
      </c>
      <c r="Z84" s="2">
        <v>4.88</v>
      </c>
      <c r="AA84" s="2">
        <v>4.1500000000000004</v>
      </c>
      <c r="AF84" s="2">
        <v>13.51</v>
      </c>
      <c r="AG84" s="3">
        <f t="shared" si="61"/>
        <v>1.3254776646028892</v>
      </c>
      <c r="AH84" s="3">
        <f t="shared" si="62"/>
        <v>0</v>
      </c>
      <c r="AI84" s="3">
        <f t="shared" si="63"/>
        <v>0.2222418375653436</v>
      </c>
      <c r="AJ84" s="3">
        <f t="shared" si="53"/>
        <v>0</v>
      </c>
      <c r="AK84" s="3">
        <f t="shared" si="54"/>
        <v>0</v>
      </c>
      <c r="AL84" s="3">
        <f t="shared" si="55"/>
        <v>0</v>
      </c>
      <c r="AM84" s="3">
        <f t="shared" si="56"/>
        <v>0</v>
      </c>
      <c r="AN84" s="3">
        <f t="shared" si="57"/>
        <v>0</v>
      </c>
      <c r="AO84" s="3">
        <f t="shared" si="58"/>
        <v>0.1574726923635425</v>
      </c>
      <c r="AP84" s="3">
        <f t="shared" si="59"/>
        <v>8.8115080418281241E-2</v>
      </c>
      <c r="AQ84" s="6">
        <f t="shared" si="64"/>
        <v>1.5084086737793469E-2</v>
      </c>
      <c r="AR84" s="6">
        <f t="shared" si="66"/>
        <v>1.7933072749500567</v>
      </c>
      <c r="AS84" s="8">
        <f t="shared" si="67"/>
        <v>-28.798324727797137</v>
      </c>
      <c r="AT84" s="4">
        <f t="shared" si="68"/>
        <v>3.112049402798706E-13</v>
      </c>
      <c r="AU84" s="4">
        <f t="shared" si="69"/>
        <v>3.1120494027987061E-9</v>
      </c>
      <c r="AV84" s="3">
        <f t="shared" si="60"/>
        <v>-8.5069535173402642</v>
      </c>
    </row>
    <row r="85" spans="1:48">
      <c r="A85" s="2" t="s">
        <v>487</v>
      </c>
      <c r="C85" s="2">
        <v>1600</v>
      </c>
      <c r="D85" s="3">
        <f t="shared" si="65"/>
        <v>5.338600752742706</v>
      </c>
      <c r="E85" s="2">
        <v>1</v>
      </c>
      <c r="G85" s="2">
        <v>0</v>
      </c>
      <c r="J85" s="5">
        <f>10^(-8.96)</f>
        <v>1.0964781961431814E-9</v>
      </c>
      <c r="K85" s="5"/>
      <c r="L85" s="3">
        <f>LOG(J85)</f>
        <v>-8.9600000000000009</v>
      </c>
      <c r="M85" s="3"/>
      <c r="N85" s="2">
        <v>0.74</v>
      </c>
      <c r="P85" s="2">
        <v>352.92</v>
      </c>
      <c r="R85" s="2">
        <v>79.64</v>
      </c>
      <c r="T85" s="2">
        <v>11.33</v>
      </c>
      <c r="Z85" s="2">
        <v>4.88</v>
      </c>
      <c r="AA85" s="2">
        <v>4.1500000000000004</v>
      </c>
      <c r="AF85" s="2">
        <v>13.51</v>
      </c>
      <c r="AG85" s="3">
        <f t="shared" si="61"/>
        <v>1.3254776646028892</v>
      </c>
      <c r="AH85" s="3">
        <f t="shared" si="62"/>
        <v>0</v>
      </c>
      <c r="AI85" s="3">
        <f t="shared" si="63"/>
        <v>0.2222418375653436</v>
      </c>
      <c r="AJ85" s="3">
        <f t="shared" si="53"/>
        <v>0</v>
      </c>
      <c r="AK85" s="3">
        <f t="shared" si="54"/>
        <v>0</v>
      </c>
      <c r="AL85" s="3">
        <f t="shared" si="55"/>
        <v>0</v>
      </c>
      <c r="AM85" s="3">
        <f t="shared" si="56"/>
        <v>0</v>
      </c>
      <c r="AN85" s="3">
        <f t="shared" si="57"/>
        <v>0</v>
      </c>
      <c r="AO85" s="3">
        <f t="shared" si="58"/>
        <v>0.1574726923635425</v>
      </c>
      <c r="AP85" s="3">
        <f t="shared" si="59"/>
        <v>8.8115080418281241E-2</v>
      </c>
      <c r="AQ85" s="6">
        <f t="shared" si="64"/>
        <v>1.5084086737793469E-2</v>
      </c>
      <c r="AR85" s="6">
        <f t="shared" si="66"/>
        <v>1.7933072749500567</v>
      </c>
      <c r="AS85" s="8">
        <f t="shared" si="67"/>
        <v>-28.00563195210928</v>
      </c>
      <c r="AT85" s="4">
        <f t="shared" si="68"/>
        <v>6.8755679896285851E-13</v>
      </c>
      <c r="AU85" s="4">
        <f t="shared" si="69"/>
        <v>6.8755679896285847E-9</v>
      </c>
      <c r="AV85" s="3">
        <f t="shared" si="60"/>
        <v>-8.1626914190144539</v>
      </c>
    </row>
    <row r="86" spans="1:48">
      <c r="A86" s="2" t="s">
        <v>488</v>
      </c>
      <c r="C86" s="2">
        <v>1300</v>
      </c>
      <c r="D86" s="3">
        <f t="shared" si="65"/>
        <v>6.3566729173950351</v>
      </c>
      <c r="E86" s="2">
        <v>1</v>
      </c>
      <c r="G86" s="2">
        <v>3.7</v>
      </c>
      <c r="J86" s="2">
        <f>1.22 * 10^(-8)</f>
        <v>1.22E-8</v>
      </c>
      <c r="L86" s="3">
        <f t="shared" ref="L86:L92" si="70">LOG(J86)</f>
        <v>-7.9136401693252516</v>
      </c>
      <c r="M86" s="3"/>
      <c r="N86" s="2">
        <v>0.2</v>
      </c>
      <c r="P86" s="2">
        <v>244.75</v>
      </c>
      <c r="R86" s="2">
        <v>76.760000000000005</v>
      </c>
      <c r="T86" s="2">
        <v>10.92</v>
      </c>
      <c r="Z86" s="2">
        <v>4.7</v>
      </c>
      <c r="AA86" s="2">
        <v>4</v>
      </c>
      <c r="AG86" s="3">
        <f t="shared" si="61"/>
        <v>1.2775447706544172</v>
      </c>
      <c r="AH86" s="3">
        <f t="shared" si="62"/>
        <v>0</v>
      </c>
      <c r="AI86" s="3">
        <f t="shared" si="63"/>
        <v>0.21419954688557391</v>
      </c>
      <c r="AJ86" s="3">
        <f t="shared" si="53"/>
        <v>0</v>
      </c>
      <c r="AK86" s="3">
        <f t="shared" si="54"/>
        <v>0</v>
      </c>
      <c r="AL86" s="3">
        <f t="shared" si="55"/>
        <v>0</v>
      </c>
      <c r="AM86" s="3">
        <f t="shared" si="56"/>
        <v>0</v>
      </c>
      <c r="AN86" s="3">
        <f t="shared" si="57"/>
        <v>0</v>
      </c>
      <c r="AO86" s="3">
        <f t="shared" si="58"/>
        <v>0.15166427338292002</v>
      </c>
      <c r="AP86" s="3">
        <f t="shared" si="59"/>
        <v>8.4930197993524081E-2</v>
      </c>
      <c r="AQ86" s="6">
        <f t="shared" si="64"/>
        <v>1.5012575699166234E-2</v>
      </c>
      <c r="AR86" s="6">
        <f t="shared" si="66"/>
        <v>1.7283387889164352</v>
      </c>
      <c r="AS86" s="8">
        <f t="shared" si="67"/>
        <v>-29.462824430709667</v>
      </c>
      <c r="AT86" s="4">
        <f t="shared" si="68"/>
        <v>1.6012455228858318E-13</v>
      </c>
      <c r="AU86" s="4">
        <f t="shared" si="69"/>
        <v>1.6012455228858319E-9</v>
      </c>
      <c r="AV86" s="3">
        <f t="shared" si="60"/>
        <v>-8.7955420715415258</v>
      </c>
    </row>
    <row r="87" spans="1:48">
      <c r="A87" s="2" t="s">
        <v>489</v>
      </c>
      <c r="C87" s="2">
        <v>1600</v>
      </c>
      <c r="D87" s="3">
        <f t="shared" si="65"/>
        <v>5.338600752742706</v>
      </c>
      <c r="E87" s="2">
        <v>1</v>
      </c>
      <c r="G87" s="2">
        <v>3.7</v>
      </c>
      <c r="J87" s="4">
        <f>1.45 * 10^(-7)</f>
        <v>1.4499999999999999E-7</v>
      </c>
      <c r="K87" s="4"/>
      <c r="L87" s="3">
        <f t="shared" si="70"/>
        <v>-6.8386319977650247</v>
      </c>
      <c r="M87" s="3"/>
      <c r="N87" s="2">
        <v>0.2</v>
      </c>
      <c r="P87" s="2">
        <v>244.75</v>
      </c>
      <c r="R87" s="2">
        <v>76.680000000000007</v>
      </c>
      <c r="T87" s="2">
        <v>10.91</v>
      </c>
      <c r="Z87" s="2">
        <v>4.7</v>
      </c>
      <c r="AA87" s="2">
        <v>4</v>
      </c>
      <c r="AG87" s="3">
        <f t="shared" si="61"/>
        <v>1.2762133013780708</v>
      </c>
      <c r="AH87" s="3">
        <f t="shared" si="62"/>
        <v>0</v>
      </c>
      <c r="AI87" s="3">
        <f t="shared" si="63"/>
        <v>0.21400339345436001</v>
      </c>
      <c r="AJ87" s="3">
        <f t="shared" si="53"/>
        <v>0</v>
      </c>
      <c r="AK87" s="3">
        <f t="shared" si="54"/>
        <v>0</v>
      </c>
      <c r="AL87" s="3">
        <f t="shared" si="55"/>
        <v>0</v>
      </c>
      <c r="AM87" s="3">
        <f t="shared" si="56"/>
        <v>0</v>
      </c>
      <c r="AN87" s="3">
        <f t="shared" si="57"/>
        <v>0</v>
      </c>
      <c r="AO87" s="3">
        <f t="shared" si="58"/>
        <v>0.15166427338292002</v>
      </c>
      <c r="AP87" s="3">
        <f t="shared" si="59"/>
        <v>8.4930197993524081E-2</v>
      </c>
      <c r="AQ87" s="6">
        <f t="shared" si="64"/>
        <v>1.5159592561553185E-2</v>
      </c>
      <c r="AR87" s="6">
        <f t="shared" si="66"/>
        <v>1.7268111662088748</v>
      </c>
      <c r="AS87" s="8">
        <f t="shared" si="67"/>
        <v>-26.779817263819734</v>
      </c>
      <c r="AT87" s="4">
        <f t="shared" si="68"/>
        <v>2.3424651367812776E-12</v>
      </c>
      <c r="AU87" s="4">
        <f t="shared" si="69"/>
        <v>2.3424651367812776E-8</v>
      </c>
      <c r="AV87" s="3">
        <f t="shared" si="60"/>
        <v>-7.63032686405435</v>
      </c>
    </row>
    <row r="88" spans="1:48">
      <c r="A88" s="2" t="s">
        <v>490</v>
      </c>
      <c r="C88" s="2">
        <v>810</v>
      </c>
      <c r="D88" s="3">
        <f t="shared" si="65"/>
        <v>9.232331625351982</v>
      </c>
      <c r="E88" s="2">
        <v>1</v>
      </c>
      <c r="G88" s="2">
        <v>0</v>
      </c>
      <c r="H88" s="2">
        <v>20</v>
      </c>
      <c r="J88" s="2">
        <f>2.88 * 10^(-12)</f>
        <v>2.8799999999999998E-12</v>
      </c>
      <c r="L88" s="3">
        <f t="shared" si="70"/>
        <v>-11.540607512240769</v>
      </c>
      <c r="M88" s="3"/>
      <c r="N88" s="2">
        <v>0.2</v>
      </c>
      <c r="P88" s="2">
        <v>244.75</v>
      </c>
      <c r="R88" s="2">
        <v>66.599999999999994</v>
      </c>
      <c r="T88" s="2">
        <v>9.2799999999999994</v>
      </c>
      <c r="Z88" s="2">
        <v>20.47</v>
      </c>
      <c r="AA88" s="2">
        <v>3.65</v>
      </c>
      <c r="AF88" s="2">
        <v>3.74</v>
      </c>
      <c r="AG88" s="3">
        <f t="shared" si="61"/>
        <v>1.1084481725584181</v>
      </c>
      <c r="AH88" s="3">
        <f t="shared" si="62"/>
        <v>0</v>
      </c>
      <c r="AI88" s="3">
        <f t="shared" si="63"/>
        <v>0.18203038416649503</v>
      </c>
      <c r="AJ88" s="3">
        <f t="shared" si="53"/>
        <v>0</v>
      </c>
      <c r="AK88" s="3">
        <f t="shared" si="54"/>
        <v>0</v>
      </c>
      <c r="AL88" s="3">
        <f t="shared" si="55"/>
        <v>0</v>
      </c>
      <c r="AM88" s="3">
        <f t="shared" si="56"/>
        <v>0</v>
      </c>
      <c r="AN88" s="3">
        <f t="shared" si="57"/>
        <v>0</v>
      </c>
      <c r="AO88" s="3">
        <f t="shared" si="58"/>
        <v>0.6605463140741219</v>
      </c>
      <c r="AP88" s="3">
        <f t="shared" si="59"/>
        <v>7.7498805669090717E-2</v>
      </c>
      <c r="AQ88" s="6">
        <f t="shared" si="64"/>
        <v>0.43085933716544605</v>
      </c>
      <c r="AR88" s="6">
        <f t="shared" si="66"/>
        <v>2.0285236764681258</v>
      </c>
      <c r="AS88" s="8">
        <f t="shared" si="67"/>
        <v>-33.655189439138439</v>
      </c>
      <c r="AT88" s="4">
        <f t="shared" si="68"/>
        <v>2.4195630252174362E-15</v>
      </c>
      <c r="AU88" s="4">
        <f t="shared" si="69"/>
        <v>2.4195630252174361E-11</v>
      </c>
      <c r="AV88" s="3">
        <f t="shared" si="60"/>
        <v>-10.616263060826421</v>
      </c>
    </row>
    <row r="89" spans="1:48">
      <c r="A89" s="2" t="s">
        <v>491</v>
      </c>
      <c r="C89" s="2">
        <v>960</v>
      </c>
      <c r="D89" s="3">
        <f t="shared" si="65"/>
        <v>8.1093135466082789</v>
      </c>
      <c r="E89" s="2">
        <v>1</v>
      </c>
      <c r="G89" s="2">
        <v>0</v>
      </c>
      <c r="H89" s="2">
        <v>20</v>
      </c>
      <c r="J89" s="2">
        <f>5.37 * 10^(-11)</f>
        <v>5.3699999999999999E-11</v>
      </c>
      <c r="L89" s="3">
        <f t="shared" si="70"/>
        <v>-10.270025714300445</v>
      </c>
      <c r="M89" s="3"/>
      <c r="N89" s="2">
        <v>0.2</v>
      </c>
      <c r="P89" s="2">
        <v>244.75</v>
      </c>
      <c r="R89" s="2">
        <v>66.599999999999994</v>
      </c>
      <c r="T89" s="2">
        <v>9.2799999999999994</v>
      </c>
      <c r="Z89" s="2">
        <v>20.47</v>
      </c>
      <c r="AA89" s="2">
        <v>3.65</v>
      </c>
      <c r="AF89" s="2">
        <v>3.74</v>
      </c>
      <c r="AG89" s="3">
        <f t="shared" si="61"/>
        <v>1.1084481725584181</v>
      </c>
      <c r="AH89" s="3">
        <f t="shared" si="62"/>
        <v>0</v>
      </c>
      <c r="AI89" s="3">
        <f t="shared" si="63"/>
        <v>0.18203038416649503</v>
      </c>
      <c r="AJ89" s="3">
        <f t="shared" si="53"/>
        <v>0</v>
      </c>
      <c r="AK89" s="3">
        <f t="shared" si="54"/>
        <v>0</v>
      </c>
      <c r="AL89" s="3">
        <f t="shared" si="55"/>
        <v>0</v>
      </c>
      <c r="AM89" s="3">
        <f t="shared" si="56"/>
        <v>0</v>
      </c>
      <c r="AN89" s="3">
        <f t="shared" si="57"/>
        <v>0</v>
      </c>
      <c r="AO89" s="3">
        <f t="shared" si="58"/>
        <v>0.6605463140741219</v>
      </c>
      <c r="AP89" s="3">
        <f t="shared" si="59"/>
        <v>7.7498805669090717E-2</v>
      </c>
      <c r="AQ89" s="6">
        <f t="shared" si="64"/>
        <v>0.43085933716544605</v>
      </c>
      <c r="AR89" s="6">
        <f t="shared" si="66"/>
        <v>2.0285236764681258</v>
      </c>
      <c r="AS89" s="8">
        <f t="shared" si="67"/>
        <v>-31.258256044279126</v>
      </c>
      <c r="AT89" s="4">
        <f t="shared" si="68"/>
        <v>2.6589605018498285E-14</v>
      </c>
      <c r="AU89" s="4">
        <f t="shared" si="69"/>
        <v>2.6589605018498283E-10</v>
      </c>
      <c r="AV89" s="3">
        <f t="shared" si="60"/>
        <v>-9.5752881139493926</v>
      </c>
    </row>
    <row r="90" spans="1:48">
      <c r="A90" s="2" t="s">
        <v>492</v>
      </c>
      <c r="C90" s="2">
        <v>1200</v>
      </c>
      <c r="D90" s="3">
        <f t="shared" si="65"/>
        <v>6.7881749991514777</v>
      </c>
      <c r="E90" s="2">
        <v>1</v>
      </c>
      <c r="G90" s="2">
        <v>0</v>
      </c>
      <c r="H90" s="2">
        <v>20</v>
      </c>
      <c r="J90" s="2">
        <f>3.71 * 10^(-9)</f>
        <v>3.7100000000000002E-9</v>
      </c>
      <c r="L90" s="3">
        <f t="shared" si="70"/>
        <v>-8.4306260903849548</v>
      </c>
      <c r="M90" s="3"/>
      <c r="N90" s="2">
        <v>0.2</v>
      </c>
      <c r="P90" s="2">
        <v>244.75</v>
      </c>
      <c r="R90" s="2">
        <v>66.599999999999994</v>
      </c>
      <c r="T90" s="2">
        <v>9.2799999999999994</v>
      </c>
      <c r="Z90" s="2">
        <v>20.47</v>
      </c>
      <c r="AA90" s="2">
        <v>3.65</v>
      </c>
      <c r="AF90" s="2">
        <v>3.74</v>
      </c>
      <c r="AG90" s="3">
        <f t="shared" si="61"/>
        <v>1.1084481725584181</v>
      </c>
      <c r="AH90" s="3">
        <f t="shared" si="62"/>
        <v>0</v>
      </c>
      <c r="AI90" s="3">
        <f t="shared" si="63"/>
        <v>0.18203038416649503</v>
      </c>
      <c r="AJ90" s="3">
        <f t="shared" si="53"/>
        <v>0</v>
      </c>
      <c r="AK90" s="3">
        <f t="shared" si="54"/>
        <v>0</v>
      </c>
      <c r="AL90" s="3">
        <f t="shared" si="55"/>
        <v>0</v>
      </c>
      <c r="AM90" s="3">
        <f t="shared" si="56"/>
        <v>0</v>
      </c>
      <c r="AN90" s="3">
        <f t="shared" si="57"/>
        <v>0</v>
      </c>
      <c r="AO90" s="3">
        <f t="shared" si="58"/>
        <v>0.6605463140741219</v>
      </c>
      <c r="AP90" s="3">
        <f t="shared" si="59"/>
        <v>7.7498805669090717E-2</v>
      </c>
      <c r="AQ90" s="6">
        <f t="shared" si="64"/>
        <v>0.43085933716544605</v>
      </c>
      <c r="AR90" s="6">
        <f t="shared" si="66"/>
        <v>2.0285236764681258</v>
      </c>
      <c r="AS90" s="8">
        <f t="shared" si="67"/>
        <v>-28.438460741270614</v>
      </c>
      <c r="AT90" s="4">
        <f t="shared" si="68"/>
        <v>4.4599852892494936E-13</v>
      </c>
      <c r="AU90" s="4">
        <f t="shared" si="69"/>
        <v>4.4599852892494936E-9</v>
      </c>
      <c r="AV90" s="3">
        <f t="shared" si="60"/>
        <v>-8.3506665737560883</v>
      </c>
    </row>
    <row r="91" spans="1:48">
      <c r="AG91" s="3">
        <f t="shared" si="61"/>
        <v>0</v>
      </c>
      <c r="AH91" s="3">
        <f t="shared" si="62"/>
        <v>0</v>
      </c>
      <c r="AI91" s="3">
        <f t="shared" si="63"/>
        <v>0</v>
      </c>
      <c r="AJ91" s="3">
        <f t="shared" si="53"/>
        <v>0</v>
      </c>
      <c r="AK91" s="3">
        <f t="shared" si="54"/>
        <v>0</v>
      </c>
      <c r="AL91" s="3">
        <f t="shared" si="55"/>
        <v>0</v>
      </c>
      <c r="AM91" s="3">
        <f t="shared" si="56"/>
        <v>0</v>
      </c>
      <c r="AN91" s="3">
        <f t="shared" si="57"/>
        <v>0</v>
      </c>
      <c r="AO91" s="3">
        <f t="shared" si="58"/>
        <v>0</v>
      </c>
      <c r="AP91" s="3">
        <f t="shared" si="59"/>
        <v>0</v>
      </c>
      <c r="AQ91" s="6"/>
      <c r="AV91" s="3"/>
    </row>
    <row r="92" spans="1:48">
      <c r="A92" s="1" t="s">
        <v>493</v>
      </c>
      <c r="B92" s="1"/>
      <c r="C92" s="2">
        <v>1300</v>
      </c>
      <c r="D92" s="3">
        <f t="shared" si="65"/>
        <v>6.3566729173950351</v>
      </c>
      <c r="E92" s="2">
        <v>0.5</v>
      </c>
      <c r="G92" s="2">
        <v>0.56000000000000005</v>
      </c>
      <c r="J92" s="7">
        <f>0.0000000287</f>
        <v>2.8699999999999999E-8</v>
      </c>
      <c r="K92" s="7"/>
      <c r="L92" s="3">
        <f t="shared" si="70"/>
        <v>-7.5421181032660076</v>
      </c>
      <c r="M92" s="3"/>
      <c r="R92" s="2">
        <v>50.31</v>
      </c>
      <c r="S92" s="2">
        <v>1.45</v>
      </c>
      <c r="T92" s="2">
        <v>15.31</v>
      </c>
      <c r="V92" s="2">
        <v>8.91</v>
      </c>
      <c r="X92" s="2">
        <v>8.2100000000000009</v>
      </c>
      <c r="Y92" s="2">
        <v>10.29</v>
      </c>
      <c r="Z92" s="2">
        <v>3.04</v>
      </c>
      <c r="AA92" s="2">
        <v>0.31</v>
      </c>
      <c r="AD92" s="2">
        <v>3.32</v>
      </c>
      <c r="AF92" s="2">
        <v>2.4700000000000002</v>
      </c>
      <c r="AG92" s="3">
        <f t="shared" si="61"/>
        <v>0.83732774116237263</v>
      </c>
      <c r="AH92" s="3">
        <f t="shared" si="62"/>
        <v>1.8155637638514993E-2</v>
      </c>
      <c r="AI92" s="3">
        <f t="shared" si="63"/>
        <v>0.30031090318847403</v>
      </c>
      <c r="AJ92" s="3">
        <f>V92/(55.845*2+15.999*3)*2*0.1</f>
        <v>1.1159330440173589E-2</v>
      </c>
      <c r="AK92" s="3">
        <f>V92/(55.845+15.999)*0.9</f>
        <v>0.11161683647903793</v>
      </c>
      <c r="AL92" s="3">
        <f t="shared" si="55"/>
        <v>0</v>
      </c>
      <c r="AM92" s="3">
        <f t="shared" si="56"/>
        <v>0.20370186581976976</v>
      </c>
      <c r="AN92" s="3">
        <f t="shared" si="57"/>
        <v>0.1834976906753214</v>
      </c>
      <c r="AO92" s="3">
        <f t="shared" si="58"/>
        <v>9.8097742783846142E-2</v>
      </c>
      <c r="AP92" s="3">
        <f t="shared" si="59"/>
        <v>6.5820903444981163E-3</v>
      </c>
      <c r="AQ92" s="6">
        <f t="shared" si="64"/>
        <v>0.67769821955601395</v>
      </c>
      <c r="AR92" s="6">
        <f>SUM(AG92:AP92)</f>
        <v>1.7704498385320087</v>
      </c>
      <c r="AS92" s="8">
        <f>-13.95+5.15*(G92/(1.007975*2+15.999)*2+4.1*(Y92/(40.078+15.999))-(X92/(24.3055+15.999)))/AR92-((36475*((R92/(28.085+15.999*2))+(T92/(26.982*2+15.999*3))*2-(1.8*(V92/(55.845+15.999))))/AR92)-11088*E92*(((R92/(28.085+15.999))+(T92/(26.982*2+15.999*3))*2)/AR92-2/3))/(C92+273.15)</f>
        <v>-23.628530378779665</v>
      </c>
      <c r="AT92" s="4">
        <f>EXP(AS92)</f>
        <v>5.4734309171612584E-11</v>
      </c>
      <c r="AU92" s="4">
        <f>AT92*10000</f>
        <v>5.4734309171612588E-7</v>
      </c>
      <c r="AV92" s="3">
        <f t="shared" si="60"/>
        <v>-6.2617403589873613</v>
      </c>
    </row>
    <row r="94" spans="1:48">
      <c r="A94" s="1" t="s">
        <v>494</v>
      </c>
      <c r="B94" s="1"/>
    </row>
    <row r="96" spans="1:48">
      <c r="A96" s="2" t="s">
        <v>495</v>
      </c>
      <c r="B96" s="2">
        <v>1885</v>
      </c>
      <c r="C96" s="2">
        <f>B96-273.15</f>
        <v>1611.85</v>
      </c>
      <c r="D96" s="3">
        <f>10000/B96</f>
        <v>5.3050397877984086</v>
      </c>
      <c r="E96" s="2">
        <v>0.47</v>
      </c>
      <c r="G96" s="2">
        <v>0.12</v>
      </c>
      <c r="J96" s="4">
        <f>24.9*10^(-10)</f>
        <v>2.4899999999999999E-9</v>
      </c>
      <c r="K96" s="4"/>
      <c r="L96" s="3">
        <f t="shared" ref="L96:L114" si="71">LOG(J96)</f>
        <v>-8.6038006529042637</v>
      </c>
      <c r="M96" s="3"/>
      <c r="Q96" s="2" t="s">
        <v>496</v>
      </c>
      <c r="R96" s="2">
        <v>72.8</v>
      </c>
      <c r="S96" s="2">
        <v>0.24</v>
      </c>
      <c r="T96" s="2">
        <v>14.08</v>
      </c>
      <c r="V96" s="2">
        <v>2.16</v>
      </c>
      <c r="X96" s="2">
        <v>0.22</v>
      </c>
      <c r="Y96" s="2">
        <v>0.91</v>
      </c>
      <c r="Z96" s="2">
        <v>5.2</v>
      </c>
      <c r="AA96" s="2">
        <v>4.04</v>
      </c>
      <c r="AD96" s="3">
        <v>1.5352885400084444</v>
      </c>
      <c r="AF96" s="3">
        <v>9.6490914206974985</v>
      </c>
      <c r="AG96" s="3">
        <f t="shared" ref="AG96:AG103" si="72">R96/(28.086+15.999*2)</f>
        <v>1.2116370414752677</v>
      </c>
      <c r="AH96" s="3">
        <f t="shared" ref="AH96:AH103" si="73">S96/(47.867+15.999*2)</f>
        <v>3.0050710574093783E-3</v>
      </c>
      <c r="AI96" s="3">
        <f t="shared" ref="AI96:AI103" si="74">T96/(26.982*2+15.999*3)*2</f>
        <v>0.2761840311491649</v>
      </c>
      <c r="AJ96" s="3">
        <f>V96/(55.845*2+15.999*3)*2*0.1</f>
        <v>2.7052922279208703E-3</v>
      </c>
      <c r="AK96" s="3">
        <f>V96/(55.845+15.999)*0.9</f>
        <v>2.705862702522132E-2</v>
      </c>
      <c r="AL96" s="3">
        <f t="shared" ref="AL96:AL103" si="75">W96/(54.938+15.999)</f>
        <v>0</v>
      </c>
      <c r="AM96" s="3">
        <f t="shared" ref="AM96:AM103" si="76">X96/(24.305+15.999)</f>
        <v>5.4585152838427945E-3</v>
      </c>
      <c r="AN96" s="3">
        <f t="shared" ref="AN96:AN103" si="77">Y96/(40.078+15.999)</f>
        <v>1.6227686930470601E-2</v>
      </c>
      <c r="AO96" s="3">
        <f t="shared" ref="AO96:AO103" si="78">Z96/(22.99*2+15.999)*2</f>
        <v>0.16779877055131578</v>
      </c>
      <c r="AP96" s="3">
        <f t="shared" ref="AP96:AP103" si="79">AA96/(39.098*2+15.999)*2</f>
        <v>8.5779499973459322E-2</v>
      </c>
      <c r="AQ96" s="6">
        <f t="shared" ref="AQ96:AQ103" si="80">(AO96+AP96+2*(AK96+AL96+AM96+AN96)-AJ96-AI96)/(AG96+AH96+AI96+AJ96)</f>
        <v>4.8327476671284259E-2</v>
      </c>
      <c r="AR96" s="6">
        <f>SUM(AG96:AP96)</f>
        <v>1.7958545356740729</v>
      </c>
      <c r="AS96" s="8">
        <f>-13.95+5.15*(G96/(1.007975*2+15.999)*2+4.1*(Y96/(40.078+15.999))-(X96/(24.3055+15.999)))/AR96-((36475*((R96/(28.085+15.999*2))+(T96/(26.982*2+15.999*3))*2-(1.8*(V96/(55.845+15.999))))/AR96)-11088*E96*(((R96/(28.085+15.999))+(T96/(26.982*2+15.999*3))*2)/AR96-2/3))/(C96+273.15)</f>
        <v>-28.060535522773037</v>
      </c>
      <c r="AT96" s="4">
        <f t="shared" ref="AT96:AT103" si="81">EXP(AS96)</f>
        <v>6.5082505419498169E-13</v>
      </c>
      <c r="AU96" s="4">
        <f t="shared" ref="AU96:AU103" si="82">AT96*10000</f>
        <v>6.508250541949817E-9</v>
      </c>
      <c r="AV96" s="3">
        <f t="shared" ref="AV96:AV103" si="83">LOG(AU96)</f>
        <v>-8.1865357367905105</v>
      </c>
    </row>
    <row r="97" spans="1:48">
      <c r="A97" s="2" t="s">
        <v>497</v>
      </c>
      <c r="B97" s="2">
        <v>1701</v>
      </c>
      <c r="C97" s="2">
        <f t="shared" ref="C97:C114" si="84">B97-273.15</f>
        <v>1427.85</v>
      </c>
      <c r="D97" s="3">
        <f t="shared" ref="D97:D114" si="85">10000/B97</f>
        <v>5.8788947677836569</v>
      </c>
      <c r="E97" s="2">
        <v>0.47</v>
      </c>
      <c r="G97" s="2">
        <v>0.12</v>
      </c>
      <c r="J97" s="4">
        <f>3.61*10^(-10)</f>
        <v>3.6099999999999999E-10</v>
      </c>
      <c r="K97" s="4"/>
      <c r="L97" s="3">
        <f t="shared" si="71"/>
        <v>-9.4424927980943423</v>
      </c>
      <c r="M97" s="3"/>
      <c r="Q97" s="2" t="s">
        <v>496</v>
      </c>
      <c r="R97" s="2">
        <v>72.8</v>
      </c>
      <c r="S97" s="2">
        <v>0.24</v>
      </c>
      <c r="T97" s="2">
        <v>14.08</v>
      </c>
      <c r="V97" s="2">
        <v>2.16</v>
      </c>
      <c r="X97" s="2">
        <v>0.22</v>
      </c>
      <c r="Y97" s="2">
        <v>0.91</v>
      </c>
      <c r="Z97" s="2">
        <v>5.2</v>
      </c>
      <c r="AA97" s="2">
        <v>4.04</v>
      </c>
      <c r="AD97" s="3">
        <v>1.5352885400084444</v>
      </c>
      <c r="AF97" s="3">
        <v>9.6490914206974985</v>
      </c>
      <c r="AG97" s="3">
        <f t="shared" si="72"/>
        <v>1.2116370414752677</v>
      </c>
      <c r="AH97" s="3">
        <f t="shared" si="73"/>
        <v>3.0050710574093783E-3</v>
      </c>
      <c r="AI97" s="3">
        <f t="shared" si="74"/>
        <v>0.2761840311491649</v>
      </c>
      <c r="AJ97" s="3">
        <f t="shared" ref="AJ97:AJ103" si="86">V97/(55.845*2+15.999*3)*2*0.1</f>
        <v>2.7052922279208703E-3</v>
      </c>
      <c r="AK97" s="3">
        <f t="shared" ref="AK97:AK103" si="87">V97/(55.845+15.999)*0.9</f>
        <v>2.705862702522132E-2</v>
      </c>
      <c r="AL97" s="3">
        <f t="shared" si="75"/>
        <v>0</v>
      </c>
      <c r="AM97" s="3">
        <f t="shared" si="76"/>
        <v>5.4585152838427945E-3</v>
      </c>
      <c r="AN97" s="3">
        <f t="shared" si="77"/>
        <v>1.6227686930470601E-2</v>
      </c>
      <c r="AO97" s="3">
        <f t="shared" si="78"/>
        <v>0.16779877055131578</v>
      </c>
      <c r="AP97" s="3">
        <f t="shared" si="79"/>
        <v>8.5779499973459322E-2</v>
      </c>
      <c r="AQ97" s="6">
        <f t="shared" si="80"/>
        <v>4.8327476671284259E-2</v>
      </c>
      <c r="AR97" s="6">
        <f t="shared" ref="AR97:AR103" si="88">SUM(AG97:AP97)</f>
        <v>1.7958545356740729</v>
      </c>
      <c r="AS97" s="8">
        <f t="shared" ref="AS97:AS103" si="89">-13.95+5.15*(G97/(1.007975*2+15.999)*2+4.1*(Y97/(40.078+15.999))-(X97/(24.3055+15.999)))/AR97-((36475*((R97/(28.085+15.999*2))+(T97/(26.982*2+15.999*3))*2-(1.8*(V97/(55.845+15.999))))/AR97)-11088*E97*(((R97/(28.085+15.999))+(T97/(26.982*2+15.999*3))*2)/AR97-2/3))/(C97+273.15)</f>
        <v>-29.609974094292006</v>
      </c>
      <c r="AT97" s="4">
        <f t="shared" si="81"/>
        <v>1.3821387449561581E-13</v>
      </c>
      <c r="AU97" s="4">
        <f t="shared" si="82"/>
        <v>1.382138744956158E-9</v>
      </c>
      <c r="AV97" s="3">
        <f t="shared" si="83"/>
        <v>-8.8594483584492547</v>
      </c>
    </row>
    <row r="98" spans="1:48">
      <c r="A98" s="2" t="s">
        <v>498</v>
      </c>
      <c r="B98" s="2">
        <v>1467</v>
      </c>
      <c r="C98" s="2">
        <f t="shared" si="84"/>
        <v>1193.8499999999999</v>
      </c>
      <c r="D98" s="3">
        <f t="shared" si="85"/>
        <v>6.8166325835037496</v>
      </c>
      <c r="E98" s="2">
        <v>0.5</v>
      </c>
      <c r="G98" s="2">
        <v>0.12</v>
      </c>
      <c r="J98" s="4">
        <f>0.179*10^(-10)</f>
        <v>1.7900000000000001E-11</v>
      </c>
      <c r="K98" s="4"/>
      <c r="L98" s="3">
        <f t="shared" si="71"/>
        <v>-10.747146969020108</v>
      </c>
      <c r="M98" s="3"/>
      <c r="Q98" s="2" t="s">
        <v>496</v>
      </c>
      <c r="R98" s="2">
        <v>72.8</v>
      </c>
      <c r="S98" s="2">
        <v>0.24</v>
      </c>
      <c r="T98" s="2">
        <v>14.08</v>
      </c>
      <c r="V98" s="2">
        <v>2.16</v>
      </c>
      <c r="X98" s="2">
        <v>0.22</v>
      </c>
      <c r="Y98" s="2">
        <v>0.91</v>
      </c>
      <c r="Z98" s="2">
        <v>5.2</v>
      </c>
      <c r="AA98" s="2">
        <v>4.04</v>
      </c>
      <c r="AD98" s="3">
        <v>1.5352885400084444</v>
      </c>
      <c r="AF98" s="3">
        <v>9.6490914206974985</v>
      </c>
      <c r="AG98" s="3">
        <f t="shared" si="72"/>
        <v>1.2116370414752677</v>
      </c>
      <c r="AH98" s="3">
        <f t="shared" si="73"/>
        <v>3.0050710574093783E-3</v>
      </c>
      <c r="AI98" s="3">
        <f t="shared" si="74"/>
        <v>0.2761840311491649</v>
      </c>
      <c r="AJ98" s="3">
        <f t="shared" si="86"/>
        <v>2.7052922279208703E-3</v>
      </c>
      <c r="AK98" s="3">
        <f t="shared" si="87"/>
        <v>2.705862702522132E-2</v>
      </c>
      <c r="AL98" s="3">
        <f t="shared" si="75"/>
        <v>0</v>
      </c>
      <c r="AM98" s="3">
        <f t="shared" si="76"/>
        <v>5.4585152838427945E-3</v>
      </c>
      <c r="AN98" s="3">
        <f t="shared" si="77"/>
        <v>1.6227686930470601E-2</v>
      </c>
      <c r="AO98" s="3">
        <f t="shared" si="78"/>
        <v>0.16779877055131578</v>
      </c>
      <c r="AP98" s="3">
        <f t="shared" si="79"/>
        <v>8.5779499973459322E-2</v>
      </c>
      <c r="AQ98" s="6">
        <f t="shared" si="80"/>
        <v>4.8327476671284259E-2</v>
      </c>
      <c r="AR98" s="6">
        <f t="shared" si="88"/>
        <v>1.7958545356740729</v>
      </c>
      <c r="AS98" s="8">
        <f t="shared" si="89"/>
        <v>-32.04970106238536</v>
      </c>
      <c r="AT98" s="4">
        <f t="shared" si="81"/>
        <v>1.2050128605379647E-14</v>
      </c>
      <c r="AU98" s="4">
        <f t="shared" si="82"/>
        <v>1.2050128605379647E-10</v>
      </c>
      <c r="AV98" s="3">
        <f t="shared" si="83"/>
        <v>-9.9190083180427493</v>
      </c>
    </row>
    <row r="99" spans="1:48">
      <c r="A99" s="2" t="s">
        <v>499</v>
      </c>
      <c r="B99" s="2">
        <v>1673</v>
      </c>
      <c r="C99" s="2">
        <f t="shared" si="84"/>
        <v>1399.85</v>
      </c>
      <c r="D99" s="3">
        <f t="shared" si="85"/>
        <v>5.9772863120143453</v>
      </c>
      <c r="E99" s="2">
        <v>0.5</v>
      </c>
      <c r="G99" s="2">
        <v>0.12</v>
      </c>
      <c r="J99" s="4">
        <f>4.86*10^(-10)</f>
        <v>4.8600000000000008E-10</v>
      </c>
      <c r="K99" s="4"/>
      <c r="L99" s="3">
        <f t="shared" si="71"/>
        <v>-9.3133637307377057</v>
      </c>
      <c r="M99" s="3"/>
      <c r="Q99" s="2" t="s">
        <v>496</v>
      </c>
      <c r="R99" s="2">
        <v>72.8</v>
      </c>
      <c r="S99" s="2">
        <v>0.24</v>
      </c>
      <c r="T99" s="2">
        <v>14.08</v>
      </c>
      <c r="V99" s="2">
        <v>2.16</v>
      </c>
      <c r="X99" s="2">
        <v>0.22</v>
      </c>
      <c r="Y99" s="2">
        <v>0.91</v>
      </c>
      <c r="Z99" s="2">
        <v>5.2</v>
      </c>
      <c r="AA99" s="2">
        <v>4.04</v>
      </c>
      <c r="AD99" s="3">
        <v>1.5352885400084444</v>
      </c>
      <c r="AF99" s="3">
        <v>9.6490914206974985</v>
      </c>
      <c r="AG99" s="3">
        <f t="shared" si="72"/>
        <v>1.2116370414752677</v>
      </c>
      <c r="AH99" s="3">
        <f t="shared" si="73"/>
        <v>3.0050710574093783E-3</v>
      </c>
      <c r="AI99" s="3">
        <f t="shared" si="74"/>
        <v>0.2761840311491649</v>
      </c>
      <c r="AJ99" s="3">
        <f t="shared" si="86"/>
        <v>2.7052922279208703E-3</v>
      </c>
      <c r="AK99" s="3">
        <f t="shared" si="87"/>
        <v>2.705862702522132E-2</v>
      </c>
      <c r="AL99" s="3">
        <f t="shared" si="75"/>
        <v>0</v>
      </c>
      <c r="AM99" s="3">
        <f t="shared" si="76"/>
        <v>5.4585152838427945E-3</v>
      </c>
      <c r="AN99" s="3">
        <f t="shared" si="77"/>
        <v>1.6227686930470601E-2</v>
      </c>
      <c r="AO99" s="3">
        <f t="shared" si="78"/>
        <v>0.16779877055131578</v>
      </c>
      <c r="AP99" s="3">
        <f t="shared" si="79"/>
        <v>8.5779499973459322E-2</v>
      </c>
      <c r="AQ99" s="6">
        <f t="shared" si="80"/>
        <v>4.8327476671284259E-2</v>
      </c>
      <c r="AR99" s="6">
        <f t="shared" si="88"/>
        <v>1.7958545356740729</v>
      </c>
      <c r="AS99" s="8">
        <f t="shared" si="89"/>
        <v>-29.794776614293085</v>
      </c>
      <c r="AT99" s="4">
        <f t="shared" si="81"/>
        <v>1.1489282997687838E-13</v>
      </c>
      <c r="AU99" s="4">
        <f t="shared" si="82"/>
        <v>1.1489282997687837E-9</v>
      </c>
      <c r="AV99" s="3">
        <f t="shared" si="83"/>
        <v>-8.9397070731275381</v>
      </c>
    </row>
    <row r="100" spans="1:48">
      <c r="D100" s="3"/>
      <c r="G100" s="2">
        <v>0.12</v>
      </c>
      <c r="J100" s="4"/>
      <c r="K100" s="4"/>
      <c r="L100" s="3"/>
      <c r="M100" s="3"/>
      <c r="Q100" s="2" t="s">
        <v>496</v>
      </c>
      <c r="R100" s="2">
        <v>72.8</v>
      </c>
      <c r="S100" s="2">
        <v>0.24</v>
      </c>
      <c r="T100" s="2">
        <v>14.08</v>
      </c>
      <c r="V100" s="2">
        <v>2.16</v>
      </c>
      <c r="X100" s="2">
        <v>0.22</v>
      </c>
      <c r="Y100" s="2">
        <v>0.91</v>
      </c>
      <c r="Z100" s="2">
        <v>5.2</v>
      </c>
      <c r="AA100" s="2">
        <v>4.04</v>
      </c>
      <c r="AD100" s="3">
        <v>1.5352885400084444</v>
      </c>
      <c r="AF100" s="3">
        <v>9.6490914206974985</v>
      </c>
      <c r="AG100" s="3">
        <f t="shared" si="72"/>
        <v>1.2116370414752677</v>
      </c>
      <c r="AH100" s="3">
        <f t="shared" si="73"/>
        <v>3.0050710574093783E-3</v>
      </c>
      <c r="AI100" s="3">
        <f t="shared" si="74"/>
        <v>0.2761840311491649</v>
      </c>
      <c r="AJ100" s="3">
        <f t="shared" si="86"/>
        <v>2.7052922279208703E-3</v>
      </c>
      <c r="AK100" s="3">
        <f t="shared" si="87"/>
        <v>2.705862702522132E-2</v>
      </c>
      <c r="AL100" s="3">
        <f t="shared" si="75"/>
        <v>0</v>
      </c>
      <c r="AM100" s="3">
        <f t="shared" si="76"/>
        <v>5.4585152838427945E-3</v>
      </c>
      <c r="AN100" s="3">
        <f t="shared" si="77"/>
        <v>1.6227686930470601E-2</v>
      </c>
      <c r="AO100" s="3">
        <f t="shared" si="78"/>
        <v>0.16779877055131578</v>
      </c>
      <c r="AP100" s="3">
        <f t="shared" si="79"/>
        <v>8.5779499973459322E-2</v>
      </c>
      <c r="AQ100" s="6">
        <f t="shared" si="80"/>
        <v>4.8327476671284259E-2</v>
      </c>
      <c r="AR100" s="6">
        <f t="shared" si="88"/>
        <v>1.7958545356740729</v>
      </c>
      <c r="AS100" s="8">
        <f t="shared" si="89"/>
        <v>-120.34432912860922</v>
      </c>
      <c r="AT100" s="4">
        <f t="shared" si="81"/>
        <v>5.4340287408880789E-53</v>
      </c>
      <c r="AU100" s="4">
        <f t="shared" si="82"/>
        <v>5.4340287408880788E-49</v>
      </c>
      <c r="AV100" s="3">
        <f t="shared" si="83"/>
        <v>-48.264878068903755</v>
      </c>
    </row>
    <row r="101" spans="1:48">
      <c r="A101" s="2" t="s">
        <v>500</v>
      </c>
      <c r="B101" s="2">
        <v>1676</v>
      </c>
      <c r="C101" s="2">
        <f t="shared" si="84"/>
        <v>1402.85</v>
      </c>
      <c r="D101" s="3">
        <f t="shared" si="85"/>
        <v>5.9665871121718377</v>
      </c>
      <c r="E101" s="2">
        <v>1.5</v>
      </c>
      <c r="G101" s="2">
        <v>0.12</v>
      </c>
      <c r="J101" s="4">
        <f>13.6*10^(-10)</f>
        <v>1.3600000000000001E-9</v>
      </c>
      <c r="K101" s="4"/>
      <c r="L101" s="3">
        <f t="shared" si="71"/>
        <v>-8.8664610916297821</v>
      </c>
      <c r="M101" s="3"/>
      <c r="Q101" s="2" t="s">
        <v>496</v>
      </c>
      <c r="R101" s="2">
        <v>72.8</v>
      </c>
      <c r="S101" s="2">
        <v>0.24</v>
      </c>
      <c r="T101" s="2">
        <v>14.08</v>
      </c>
      <c r="V101" s="2">
        <v>2.16</v>
      </c>
      <c r="X101" s="2">
        <v>0.22</v>
      </c>
      <c r="Y101" s="2">
        <v>0.91</v>
      </c>
      <c r="Z101" s="2">
        <v>5.2</v>
      </c>
      <c r="AA101" s="2">
        <v>4.04</v>
      </c>
      <c r="AD101" s="3">
        <v>1.5352885400084444</v>
      </c>
      <c r="AF101" s="3">
        <v>9.6490914206974985</v>
      </c>
      <c r="AG101" s="3">
        <f t="shared" si="72"/>
        <v>1.2116370414752677</v>
      </c>
      <c r="AH101" s="3">
        <f t="shared" si="73"/>
        <v>3.0050710574093783E-3</v>
      </c>
      <c r="AI101" s="3">
        <f t="shared" si="74"/>
        <v>0.2761840311491649</v>
      </c>
      <c r="AJ101" s="3">
        <f t="shared" si="86"/>
        <v>2.7052922279208703E-3</v>
      </c>
      <c r="AK101" s="3">
        <f t="shared" si="87"/>
        <v>2.705862702522132E-2</v>
      </c>
      <c r="AL101" s="3">
        <f t="shared" si="75"/>
        <v>0</v>
      </c>
      <c r="AM101" s="3">
        <f t="shared" si="76"/>
        <v>5.4585152838427945E-3</v>
      </c>
      <c r="AN101" s="3">
        <f t="shared" si="77"/>
        <v>1.6227686930470601E-2</v>
      </c>
      <c r="AO101" s="3">
        <f t="shared" si="78"/>
        <v>0.16779877055131578</v>
      </c>
      <c r="AP101" s="3">
        <f t="shared" si="79"/>
        <v>8.5779499973459322E-2</v>
      </c>
      <c r="AQ101" s="6">
        <f t="shared" si="80"/>
        <v>4.8327476671284259E-2</v>
      </c>
      <c r="AR101" s="6">
        <f t="shared" si="88"/>
        <v>1.7958545356740729</v>
      </c>
      <c r="AS101" s="8">
        <f t="shared" si="89"/>
        <v>-27.075530365980441</v>
      </c>
      <c r="AT101" s="4">
        <f t="shared" si="81"/>
        <v>1.7427960520169005E-12</v>
      </c>
      <c r="AU101" s="4">
        <f t="shared" si="82"/>
        <v>1.7427960520169004E-8</v>
      </c>
      <c r="AV101" s="3">
        <f t="shared" si="83"/>
        <v>-7.7587534325492378</v>
      </c>
    </row>
    <row r="102" spans="1:48">
      <c r="A102" s="2" t="s">
        <v>501</v>
      </c>
      <c r="B102" s="2">
        <v>1890</v>
      </c>
      <c r="C102" s="2">
        <f t="shared" si="84"/>
        <v>1616.85</v>
      </c>
      <c r="D102" s="3">
        <f t="shared" si="85"/>
        <v>5.2910052910052912</v>
      </c>
      <c r="E102" s="2">
        <v>1.5</v>
      </c>
      <c r="G102" s="2">
        <v>0.12</v>
      </c>
      <c r="J102" s="4">
        <f>38*10^(-10)</f>
        <v>3.8000000000000001E-9</v>
      </c>
      <c r="K102" s="4"/>
      <c r="L102" s="3">
        <f t="shared" si="71"/>
        <v>-8.4202164033831899</v>
      </c>
      <c r="M102" s="3"/>
      <c r="Q102" s="2" t="s">
        <v>496</v>
      </c>
      <c r="R102" s="2">
        <v>72.8</v>
      </c>
      <c r="S102" s="2">
        <v>0.24</v>
      </c>
      <c r="T102" s="2">
        <v>14.08</v>
      </c>
      <c r="V102" s="2">
        <v>2.16</v>
      </c>
      <c r="X102" s="2">
        <v>0.22</v>
      </c>
      <c r="Y102" s="2">
        <v>0.91</v>
      </c>
      <c r="Z102" s="2">
        <v>5.2</v>
      </c>
      <c r="AA102" s="2">
        <v>4.04</v>
      </c>
      <c r="AD102" s="3">
        <v>1.5352885400084444</v>
      </c>
      <c r="AF102" s="3">
        <v>9.6490914206974985</v>
      </c>
      <c r="AG102" s="3">
        <f t="shared" si="72"/>
        <v>1.2116370414752677</v>
      </c>
      <c r="AH102" s="3">
        <f t="shared" si="73"/>
        <v>3.0050710574093783E-3</v>
      </c>
      <c r="AI102" s="3">
        <f t="shared" si="74"/>
        <v>0.2761840311491649</v>
      </c>
      <c r="AJ102" s="3">
        <f t="shared" si="86"/>
        <v>2.7052922279208703E-3</v>
      </c>
      <c r="AK102" s="3">
        <f t="shared" si="87"/>
        <v>2.705862702522132E-2</v>
      </c>
      <c r="AL102" s="3">
        <f t="shared" si="75"/>
        <v>0</v>
      </c>
      <c r="AM102" s="3">
        <f t="shared" si="76"/>
        <v>5.4585152838427945E-3</v>
      </c>
      <c r="AN102" s="3">
        <f t="shared" si="77"/>
        <v>1.6227686930470601E-2</v>
      </c>
      <c r="AO102" s="3">
        <f t="shared" si="78"/>
        <v>0.16779877055131578</v>
      </c>
      <c r="AP102" s="3">
        <f t="shared" si="79"/>
        <v>8.5779499973459322E-2</v>
      </c>
      <c r="AQ102" s="6">
        <f t="shared" si="80"/>
        <v>4.8327476671284259E-2</v>
      </c>
      <c r="AR102" s="6">
        <f t="shared" si="88"/>
        <v>1.7958545356740729</v>
      </c>
      <c r="AS102" s="8">
        <f t="shared" si="89"/>
        <v>-25.565202067386466</v>
      </c>
      <c r="AT102" s="4">
        <f t="shared" si="81"/>
        <v>7.8917589850127561E-12</v>
      </c>
      <c r="AU102" s="4">
        <f t="shared" si="82"/>
        <v>7.8917589850127566E-8</v>
      </c>
      <c r="AV102" s="3">
        <f t="shared" si="83"/>
        <v>-7.1028261866075475</v>
      </c>
    </row>
    <row r="103" spans="1:48">
      <c r="A103" s="2" t="s">
        <v>502</v>
      </c>
      <c r="B103" s="2">
        <v>1685</v>
      </c>
      <c r="C103" s="2">
        <f t="shared" si="84"/>
        <v>1411.85</v>
      </c>
      <c r="D103" s="3">
        <f t="shared" si="85"/>
        <v>5.9347181008902075</v>
      </c>
      <c r="E103" s="2">
        <v>1.5</v>
      </c>
      <c r="G103" s="2">
        <v>0.12</v>
      </c>
      <c r="J103" s="4">
        <f>12.4*10^(-10)</f>
        <v>1.2400000000000001E-9</v>
      </c>
      <c r="K103" s="4"/>
      <c r="L103" s="3">
        <f t="shared" si="71"/>
        <v>-8.9065783148377644</v>
      </c>
      <c r="M103" s="3"/>
      <c r="Q103" s="2" t="s">
        <v>496</v>
      </c>
      <c r="R103" s="2">
        <v>72.8</v>
      </c>
      <c r="S103" s="2">
        <v>0.24</v>
      </c>
      <c r="T103" s="2">
        <v>14.08</v>
      </c>
      <c r="V103" s="2">
        <v>2.16</v>
      </c>
      <c r="X103" s="2">
        <v>0.22</v>
      </c>
      <c r="Y103" s="2">
        <v>0.91</v>
      </c>
      <c r="Z103" s="2">
        <v>5.2</v>
      </c>
      <c r="AA103" s="2">
        <v>4.04</v>
      </c>
      <c r="AD103" s="3">
        <v>1.5352885400084444</v>
      </c>
      <c r="AF103" s="3">
        <v>9.6490914206974985</v>
      </c>
      <c r="AG103" s="3">
        <f t="shared" si="72"/>
        <v>1.2116370414752677</v>
      </c>
      <c r="AH103" s="3">
        <f t="shared" si="73"/>
        <v>3.0050710574093783E-3</v>
      </c>
      <c r="AI103" s="3">
        <f t="shared" si="74"/>
        <v>0.2761840311491649</v>
      </c>
      <c r="AJ103" s="3">
        <f t="shared" si="86"/>
        <v>2.7052922279208703E-3</v>
      </c>
      <c r="AK103" s="3">
        <f t="shared" si="87"/>
        <v>2.705862702522132E-2</v>
      </c>
      <c r="AL103" s="3">
        <f t="shared" si="75"/>
        <v>0</v>
      </c>
      <c r="AM103" s="3">
        <f t="shared" si="76"/>
        <v>5.4585152838427945E-3</v>
      </c>
      <c r="AN103" s="3">
        <f t="shared" si="77"/>
        <v>1.6227686930470601E-2</v>
      </c>
      <c r="AO103" s="3">
        <f t="shared" si="78"/>
        <v>0.16779877055131578</v>
      </c>
      <c r="AP103" s="3">
        <f t="shared" si="79"/>
        <v>8.5779499973459322E-2</v>
      </c>
      <c r="AQ103" s="6">
        <f t="shared" si="80"/>
        <v>4.8327476671284259E-2</v>
      </c>
      <c r="AR103" s="6">
        <f t="shared" si="88"/>
        <v>1.7958545356740729</v>
      </c>
      <c r="AS103" s="8">
        <f t="shared" si="89"/>
        <v>-27.004284118555155</v>
      </c>
      <c r="AT103" s="4">
        <f t="shared" si="81"/>
        <v>1.8714939157840633E-12</v>
      </c>
      <c r="AU103" s="4">
        <f t="shared" si="82"/>
        <v>1.8714939157840632E-8</v>
      </c>
      <c r="AV103" s="3">
        <f t="shared" si="83"/>
        <v>-7.7278115804361223</v>
      </c>
    </row>
    <row r="104" spans="1:48">
      <c r="D104" s="3"/>
      <c r="J104" s="4"/>
      <c r="K104" s="4"/>
      <c r="L104" s="3"/>
      <c r="M104" s="3"/>
      <c r="AD104" s="3"/>
      <c r="AF104" s="3"/>
    </row>
    <row r="105" spans="1:48">
      <c r="A105" s="2" t="s">
        <v>503</v>
      </c>
      <c r="B105" s="2">
        <v>1677</v>
      </c>
      <c r="C105" s="2">
        <f t="shared" si="84"/>
        <v>1403.85</v>
      </c>
      <c r="D105" s="3">
        <f t="shared" si="85"/>
        <v>5.9630292188431726</v>
      </c>
      <c r="E105" s="2">
        <v>0.5</v>
      </c>
      <c r="G105" s="2">
        <v>3.63</v>
      </c>
      <c r="J105" s="4">
        <f>76*10^(-10)</f>
        <v>7.6000000000000002E-9</v>
      </c>
      <c r="K105" s="4"/>
      <c r="L105" s="3">
        <f t="shared" si="71"/>
        <v>-8.1191864077192086</v>
      </c>
      <c r="M105" s="3"/>
      <c r="Q105" s="2" t="s">
        <v>504</v>
      </c>
      <c r="R105" s="2">
        <v>73.14</v>
      </c>
      <c r="S105" s="2">
        <v>0.26</v>
      </c>
      <c r="T105" s="2">
        <v>14.46</v>
      </c>
      <c r="V105" s="2">
        <v>1.51</v>
      </c>
      <c r="X105" s="2">
        <v>0.31</v>
      </c>
      <c r="Y105" s="2">
        <v>1.28</v>
      </c>
      <c r="Z105" s="2">
        <v>4.2</v>
      </c>
      <c r="AA105" s="2">
        <v>4.58</v>
      </c>
      <c r="AD105" s="3">
        <v>1.4422440510722971</v>
      </c>
      <c r="AF105" s="3">
        <v>10.209365368345445</v>
      </c>
      <c r="AG105" s="3">
        <f t="shared" ref="AG105:AG110" si="90">R105/(28.086+15.999*2)</f>
        <v>1.2172957858997404</v>
      </c>
      <c r="AH105" s="3">
        <f t="shared" ref="AH105:AH110" si="91">S105/(47.867+15.999*2)</f>
        <v>3.2554936455268268E-3</v>
      </c>
      <c r="AI105" s="3">
        <f t="shared" ref="AI105:AI110" si="92">T105/(26.982*2+15.999*3)*2</f>
        <v>0.28363786153529291</v>
      </c>
      <c r="AJ105" s="3">
        <f t="shared" ref="AJ105:AJ110" si="93">V105/(55.845*2+15.999*3)*2*0.1</f>
        <v>1.8911996593335711E-3</v>
      </c>
      <c r="AK105" s="3">
        <f t="shared" ref="AK105:AK110" si="94">V105/(55.845+15.999)*0.9</f>
        <v>1.891598463337231E-2</v>
      </c>
      <c r="AL105" s="3">
        <f t="shared" ref="AL105:AL110" si="95">W105/(54.938+15.999)</f>
        <v>0</v>
      </c>
      <c r="AM105" s="3">
        <f t="shared" ref="AM105:AM110" si="96">X105/(24.305+15.999)</f>
        <v>7.6915442635966651E-3</v>
      </c>
      <c r="AN105" s="3">
        <f t="shared" ref="AN105:AN110" si="97">Y105/(40.078+15.999)</f>
        <v>2.2825757440661947E-2</v>
      </c>
      <c r="AO105" s="3">
        <f t="shared" ref="AO105:AO110" si="98">Z105/(22.99*2+15.999)*2</f>
        <v>0.13552977621452428</v>
      </c>
      <c r="AP105" s="3">
        <f t="shared" ref="AP105:AP110" si="99">AA105/(39.098*2+15.999)*2</f>
        <v>9.7245076702585073E-2</v>
      </c>
      <c r="AQ105" s="6">
        <f t="shared" ref="AQ105:AQ110" si="100">(AO105+AP105+2*(AK105+AL105+AM105+AN105)-AJ105-AI105)/(AG105+AH105+AI105+AJ105)</f>
        <v>3.0617466512504247E-2</v>
      </c>
      <c r="AR105" s="6">
        <f t="shared" ref="AR105:AR110" si="101">SUM(AG105:AP105)</f>
        <v>1.7882884799946341</v>
      </c>
      <c r="AS105" s="8">
        <f t="shared" ref="AS105:AS110" si="102">-13.95+5.15*(G105/(1.007975*2+15.999)*2+4.1*(Y105/(40.078+15.999))-(X105/(24.3055+15.999)))/AR105-((36475*((R105/(28.085+15.999*2))+(T105/(26.982*2+15.999*3))*2-(1.8*(V105/(55.845+15.999))))/AR105)-11088*E105*(((R105/(28.085+15.999))+(T105/(26.982*2+15.999*3))*2)/AR105-2/3))/(C105+273.15)</f>
        <v>-28.949858271641084</v>
      </c>
      <c r="AT105" s="4">
        <f t="shared" ref="AT105:AT110" si="103">EXP(AS105)</f>
        <v>2.6744611940684019E-13</v>
      </c>
      <c r="AU105" s="4">
        <f t="shared" ref="AU105:AU110" si="104">AT105*10000</f>
        <v>2.6744611940684018E-9</v>
      </c>
      <c r="AV105" s="3">
        <f t="shared" ref="AV105:AV110" si="105">LOG(AU105)</f>
        <v>-8.5727636992549332</v>
      </c>
    </row>
    <row r="106" spans="1:48">
      <c r="A106" s="2" t="s">
        <v>505</v>
      </c>
      <c r="B106" s="2">
        <v>1373</v>
      </c>
      <c r="C106" s="2">
        <f t="shared" si="84"/>
        <v>1099.8499999999999</v>
      </c>
      <c r="D106" s="3">
        <f t="shared" si="85"/>
        <v>7.2833211944646763</v>
      </c>
      <c r="E106" s="2">
        <v>0.5</v>
      </c>
      <c r="G106" s="2">
        <v>3.63</v>
      </c>
      <c r="J106" s="4">
        <f>6.98*10^(-10)</f>
        <v>6.9800000000000007E-10</v>
      </c>
      <c r="K106" s="4"/>
      <c r="L106" s="3">
        <f t="shared" si="71"/>
        <v>-9.1561445773768391</v>
      </c>
      <c r="M106" s="3"/>
      <c r="Q106" s="2" t="s">
        <v>504</v>
      </c>
      <c r="R106" s="2">
        <v>73.14</v>
      </c>
      <c r="S106" s="2">
        <v>0.26</v>
      </c>
      <c r="T106" s="2">
        <v>14.46</v>
      </c>
      <c r="V106" s="2">
        <v>1.51</v>
      </c>
      <c r="X106" s="2">
        <v>0.31</v>
      </c>
      <c r="Y106" s="2">
        <v>1.28</v>
      </c>
      <c r="Z106" s="2">
        <v>4.2</v>
      </c>
      <c r="AA106" s="2">
        <v>4.58</v>
      </c>
      <c r="AD106" s="3">
        <v>1.4422440510722971</v>
      </c>
      <c r="AF106" s="3">
        <v>10.209365368345445</v>
      </c>
      <c r="AG106" s="3">
        <f t="shared" si="90"/>
        <v>1.2172957858997404</v>
      </c>
      <c r="AH106" s="3">
        <f t="shared" si="91"/>
        <v>3.2554936455268268E-3</v>
      </c>
      <c r="AI106" s="3">
        <f t="shared" si="92"/>
        <v>0.28363786153529291</v>
      </c>
      <c r="AJ106" s="3">
        <f t="shared" si="93"/>
        <v>1.8911996593335711E-3</v>
      </c>
      <c r="AK106" s="3">
        <f t="shared" si="94"/>
        <v>1.891598463337231E-2</v>
      </c>
      <c r="AL106" s="3">
        <f t="shared" si="95"/>
        <v>0</v>
      </c>
      <c r="AM106" s="3">
        <f t="shared" si="96"/>
        <v>7.6915442635966651E-3</v>
      </c>
      <c r="AN106" s="3">
        <f t="shared" si="97"/>
        <v>2.2825757440661947E-2</v>
      </c>
      <c r="AO106" s="3">
        <f t="shared" si="98"/>
        <v>0.13552977621452428</v>
      </c>
      <c r="AP106" s="3">
        <f t="shared" si="99"/>
        <v>9.7245076702585073E-2</v>
      </c>
      <c r="AQ106" s="6">
        <f t="shared" si="100"/>
        <v>3.0617466512504247E-2</v>
      </c>
      <c r="AR106" s="6">
        <f t="shared" si="101"/>
        <v>1.7882884799946341</v>
      </c>
      <c r="AS106" s="8">
        <f t="shared" si="102"/>
        <v>-32.582756895864648</v>
      </c>
      <c r="AT106" s="4">
        <f t="shared" si="103"/>
        <v>7.071124354697107E-15</v>
      </c>
      <c r="AU106" s="4">
        <f t="shared" si="104"/>
        <v>7.0711243546971068E-11</v>
      </c>
      <c r="AV106" s="3">
        <f t="shared" si="105"/>
        <v>-10.150511525069144</v>
      </c>
    </row>
    <row r="107" spans="1:48">
      <c r="A107" s="2" t="s">
        <v>506</v>
      </c>
      <c r="B107" s="2">
        <v>1468</v>
      </c>
      <c r="C107" s="2">
        <f t="shared" si="84"/>
        <v>1194.8499999999999</v>
      </c>
      <c r="D107" s="3">
        <f t="shared" si="85"/>
        <v>6.8119891008174385</v>
      </c>
      <c r="E107" s="2">
        <v>0.5</v>
      </c>
      <c r="G107" s="2">
        <v>3.63</v>
      </c>
      <c r="J107" s="4">
        <f>17.7*10^(-10)</f>
        <v>1.7700000000000001E-9</v>
      </c>
      <c r="K107" s="4"/>
      <c r="L107" s="3">
        <f t="shared" si="71"/>
        <v>-8.7520267336381927</v>
      </c>
      <c r="M107" s="3"/>
      <c r="Q107" s="2" t="s">
        <v>504</v>
      </c>
      <c r="R107" s="2">
        <v>73.14</v>
      </c>
      <c r="S107" s="2">
        <v>0.26</v>
      </c>
      <c r="T107" s="2">
        <v>14.46</v>
      </c>
      <c r="V107" s="2">
        <v>1.51</v>
      </c>
      <c r="X107" s="2">
        <v>0.31</v>
      </c>
      <c r="Y107" s="2">
        <v>1.28</v>
      </c>
      <c r="Z107" s="2">
        <v>4.2</v>
      </c>
      <c r="AA107" s="2">
        <v>4.58</v>
      </c>
      <c r="AD107" s="3">
        <v>1.4422440510722971</v>
      </c>
      <c r="AF107" s="3">
        <v>10.209365368345445</v>
      </c>
      <c r="AG107" s="3">
        <f t="shared" si="90"/>
        <v>1.2172957858997404</v>
      </c>
      <c r="AH107" s="3">
        <f t="shared" si="91"/>
        <v>3.2554936455268268E-3</v>
      </c>
      <c r="AI107" s="3">
        <f t="shared" si="92"/>
        <v>0.28363786153529291</v>
      </c>
      <c r="AJ107" s="3">
        <f t="shared" si="93"/>
        <v>1.8911996593335711E-3</v>
      </c>
      <c r="AK107" s="3">
        <f t="shared" si="94"/>
        <v>1.891598463337231E-2</v>
      </c>
      <c r="AL107" s="3">
        <f t="shared" si="95"/>
        <v>0</v>
      </c>
      <c r="AM107" s="3">
        <f t="shared" si="96"/>
        <v>7.6915442635966651E-3</v>
      </c>
      <c r="AN107" s="3">
        <f t="shared" si="97"/>
        <v>2.2825757440661947E-2</v>
      </c>
      <c r="AO107" s="3">
        <f t="shared" si="98"/>
        <v>0.13552977621452428</v>
      </c>
      <c r="AP107" s="3">
        <f t="shared" si="99"/>
        <v>9.7245076702585073E-2</v>
      </c>
      <c r="AQ107" s="6">
        <f t="shared" si="100"/>
        <v>3.0617466512504247E-2</v>
      </c>
      <c r="AR107" s="6">
        <f t="shared" si="101"/>
        <v>1.7882884799946341</v>
      </c>
      <c r="AS107" s="8">
        <f t="shared" si="102"/>
        <v>-31.285845495825711</v>
      </c>
      <c r="AT107" s="4">
        <f t="shared" si="103"/>
        <v>2.5866039680852075E-14</v>
      </c>
      <c r="AU107" s="4">
        <f t="shared" si="104"/>
        <v>2.5866039680852077E-10</v>
      </c>
      <c r="AV107" s="3">
        <f t="shared" si="105"/>
        <v>-9.5872700605148129</v>
      </c>
    </row>
    <row r="108" spans="1:48">
      <c r="A108" s="2" t="s">
        <v>507</v>
      </c>
      <c r="B108" s="2">
        <v>1664</v>
      </c>
      <c r="C108" s="2">
        <f t="shared" si="84"/>
        <v>1390.85</v>
      </c>
      <c r="D108" s="3">
        <f t="shared" si="85"/>
        <v>6.009615384615385</v>
      </c>
      <c r="E108" s="2">
        <v>0.5</v>
      </c>
      <c r="G108" s="2">
        <v>1.05</v>
      </c>
      <c r="J108" s="4">
        <f>7.32*10^(-10)</f>
        <v>7.3200000000000006E-10</v>
      </c>
      <c r="K108" s="4"/>
      <c r="L108" s="3">
        <f t="shared" si="71"/>
        <v>-9.1354889189416077</v>
      </c>
      <c r="M108" s="3"/>
      <c r="Q108" s="2" t="s">
        <v>508</v>
      </c>
      <c r="R108" s="2">
        <v>75.53</v>
      </c>
      <c r="S108" s="2">
        <v>0.09</v>
      </c>
      <c r="T108" s="2">
        <v>13.12</v>
      </c>
      <c r="V108" s="2">
        <v>1.05</v>
      </c>
      <c r="X108" s="2">
        <v>0.02</v>
      </c>
      <c r="Y108" s="2">
        <v>0.55000000000000004</v>
      </c>
      <c r="Z108" s="2">
        <v>4.09</v>
      </c>
      <c r="AA108" s="2">
        <v>4.92</v>
      </c>
      <c r="AD108" s="3">
        <v>1.406432490055179</v>
      </c>
      <c r="AF108" s="3">
        <v>11.883930425305749</v>
      </c>
      <c r="AG108" s="3">
        <f t="shared" si="90"/>
        <v>1.2570734305305904</v>
      </c>
      <c r="AH108" s="3">
        <f t="shared" si="91"/>
        <v>1.126901646528517E-3</v>
      </c>
      <c r="AI108" s="3">
        <f t="shared" si="92"/>
        <v>0.25735330175263088</v>
      </c>
      <c r="AJ108" s="3">
        <f t="shared" si="93"/>
        <v>1.3150726107948674E-3</v>
      </c>
      <c r="AK108" s="3">
        <f t="shared" si="94"/>
        <v>1.3153499248371473E-2</v>
      </c>
      <c r="AL108" s="3">
        <f t="shared" si="95"/>
        <v>0</v>
      </c>
      <c r="AM108" s="3">
        <f t="shared" si="96"/>
        <v>4.9622866216752679E-4</v>
      </c>
      <c r="AN108" s="3">
        <f t="shared" si="97"/>
        <v>9.8079426502844305E-3</v>
      </c>
      <c r="AO108" s="3">
        <f t="shared" si="98"/>
        <v>0.1319801868374772</v>
      </c>
      <c r="AP108" s="3">
        <f t="shared" si="99"/>
        <v>0.10446414353203462</v>
      </c>
      <c r="AQ108" s="6">
        <f t="shared" si="100"/>
        <v>1.6277807710889682E-2</v>
      </c>
      <c r="AR108" s="6">
        <f t="shared" si="101"/>
        <v>1.7767707074708798</v>
      </c>
      <c r="AS108" s="8">
        <f t="shared" si="102"/>
        <v>-30.382061054005128</v>
      </c>
      <c r="AT108" s="4">
        <f t="shared" si="103"/>
        <v>6.3861414745775143E-14</v>
      </c>
      <c r="AU108" s="4">
        <f t="shared" si="104"/>
        <v>6.3861414745775139E-10</v>
      </c>
      <c r="AV108" s="3">
        <f t="shared" si="105"/>
        <v>-9.1947614646021218</v>
      </c>
    </row>
    <row r="109" spans="1:48">
      <c r="A109" s="2" t="s">
        <v>509</v>
      </c>
      <c r="B109" s="2">
        <v>1368</v>
      </c>
      <c r="C109" s="2">
        <f t="shared" si="84"/>
        <v>1094.8499999999999</v>
      </c>
      <c r="D109" s="3">
        <f t="shared" si="85"/>
        <v>7.3099415204678362</v>
      </c>
      <c r="E109" s="2">
        <v>0.5</v>
      </c>
      <c r="G109" s="2">
        <v>1.05</v>
      </c>
      <c r="J109" s="4">
        <f>0.141*10^(-10)</f>
        <v>1.4099999999999998E-11</v>
      </c>
      <c r="K109" s="4"/>
      <c r="L109" s="3">
        <f t="shared" si="71"/>
        <v>-10.850780887344619</v>
      </c>
      <c r="M109" s="3"/>
      <c r="Q109" s="2" t="s">
        <v>508</v>
      </c>
      <c r="R109" s="2">
        <v>75.53</v>
      </c>
      <c r="S109" s="2">
        <v>0.09</v>
      </c>
      <c r="T109" s="2">
        <v>13.12</v>
      </c>
      <c r="V109" s="2">
        <v>1.05</v>
      </c>
      <c r="X109" s="2">
        <v>0.02</v>
      </c>
      <c r="Y109" s="2">
        <v>0.55000000000000004</v>
      </c>
      <c r="Z109" s="2">
        <v>4.09</v>
      </c>
      <c r="AA109" s="2">
        <v>4.92</v>
      </c>
      <c r="AD109" s="3">
        <v>1.406432490055179</v>
      </c>
      <c r="AF109" s="3">
        <v>11.883930425305749</v>
      </c>
      <c r="AG109" s="3">
        <f t="shared" si="90"/>
        <v>1.2570734305305904</v>
      </c>
      <c r="AH109" s="3">
        <f t="shared" si="91"/>
        <v>1.126901646528517E-3</v>
      </c>
      <c r="AI109" s="3">
        <f t="shared" si="92"/>
        <v>0.25735330175263088</v>
      </c>
      <c r="AJ109" s="3">
        <f t="shared" si="93"/>
        <v>1.3150726107948674E-3</v>
      </c>
      <c r="AK109" s="3">
        <f t="shared" si="94"/>
        <v>1.3153499248371473E-2</v>
      </c>
      <c r="AL109" s="3">
        <f t="shared" si="95"/>
        <v>0</v>
      </c>
      <c r="AM109" s="3">
        <f t="shared" si="96"/>
        <v>4.9622866216752679E-4</v>
      </c>
      <c r="AN109" s="3">
        <f t="shared" si="97"/>
        <v>9.8079426502844305E-3</v>
      </c>
      <c r="AO109" s="3">
        <f t="shared" si="98"/>
        <v>0.1319801868374772</v>
      </c>
      <c r="AP109" s="3">
        <f t="shared" si="99"/>
        <v>0.10446414353203462</v>
      </c>
      <c r="AQ109" s="6">
        <f t="shared" si="100"/>
        <v>1.6277807710889682E-2</v>
      </c>
      <c r="AR109" s="6">
        <f t="shared" si="101"/>
        <v>1.7767707074708798</v>
      </c>
      <c r="AS109" s="8">
        <f t="shared" si="102"/>
        <v>-34.035553401469222</v>
      </c>
      <c r="AT109" s="4">
        <f t="shared" si="103"/>
        <v>1.6540436609495522E-15</v>
      </c>
      <c r="AU109" s="4">
        <f t="shared" si="104"/>
        <v>1.6540436609495521E-11</v>
      </c>
      <c r="AV109" s="3">
        <f t="shared" si="105"/>
        <v>-10.781453030781536</v>
      </c>
    </row>
    <row r="110" spans="1:48">
      <c r="A110" s="2" t="s">
        <v>510</v>
      </c>
      <c r="B110" s="2">
        <v>1569</v>
      </c>
      <c r="C110" s="2">
        <f t="shared" si="84"/>
        <v>1295.8499999999999</v>
      </c>
      <c r="D110" s="3">
        <f t="shared" si="85"/>
        <v>6.3734862970044617</v>
      </c>
      <c r="E110" s="2">
        <v>0.5</v>
      </c>
      <c r="G110" s="2">
        <v>0.24</v>
      </c>
      <c r="J110" s="4">
        <f>0.95*10^(-10)</f>
        <v>9.4999999999999995E-11</v>
      </c>
      <c r="K110" s="4"/>
      <c r="L110" s="3">
        <f t="shared" si="71"/>
        <v>-10.022276394711152</v>
      </c>
      <c r="M110" s="3"/>
      <c r="Q110" s="2" t="s">
        <v>511</v>
      </c>
      <c r="R110" s="2">
        <v>76.48</v>
      </c>
      <c r="S110" s="2">
        <v>0.05</v>
      </c>
      <c r="T110" s="2">
        <v>13.01</v>
      </c>
      <c r="V110" s="2">
        <v>0.91</v>
      </c>
      <c r="X110" s="2">
        <v>0.02</v>
      </c>
      <c r="Y110" s="2">
        <v>0.41</v>
      </c>
      <c r="Z110" s="2">
        <v>4.07</v>
      </c>
      <c r="AA110" s="2">
        <v>5.29</v>
      </c>
      <c r="AD110" s="3">
        <v>1.4254930855073127</v>
      </c>
      <c r="AF110" s="3">
        <v>11.991305088050149</v>
      </c>
      <c r="AG110" s="3">
        <f t="shared" si="90"/>
        <v>1.2728846281872046</v>
      </c>
      <c r="AH110" s="3">
        <f t="shared" si="91"/>
        <v>6.2605647029362061E-4</v>
      </c>
      <c r="AI110" s="3">
        <f t="shared" si="92"/>
        <v>0.25519561400927804</v>
      </c>
      <c r="AJ110" s="3">
        <f t="shared" si="93"/>
        <v>1.1397295960222185E-3</v>
      </c>
      <c r="AK110" s="3">
        <f t="shared" si="94"/>
        <v>1.139969934858861E-2</v>
      </c>
      <c r="AL110" s="3">
        <f t="shared" si="95"/>
        <v>0</v>
      </c>
      <c r="AM110" s="3">
        <f t="shared" si="96"/>
        <v>4.9622866216752679E-4</v>
      </c>
      <c r="AN110" s="3">
        <f t="shared" si="97"/>
        <v>7.3113754302120285E-3</v>
      </c>
      <c r="AO110" s="3">
        <f t="shared" si="98"/>
        <v>0.1313348069507414</v>
      </c>
      <c r="AP110" s="3">
        <f t="shared" si="99"/>
        <v>0.11232018684643559</v>
      </c>
      <c r="AQ110" s="6">
        <f t="shared" si="100"/>
        <v>1.6821468695797662E-2</v>
      </c>
      <c r="AR110" s="6">
        <f t="shared" si="101"/>
        <v>1.7927083255009437</v>
      </c>
      <c r="AS110" s="8">
        <f t="shared" si="102"/>
        <v>-31.74224708964638</v>
      </c>
      <c r="AT110" s="4">
        <f t="shared" si="103"/>
        <v>1.6387671351455245E-14</v>
      </c>
      <c r="AU110" s="4">
        <f t="shared" si="104"/>
        <v>1.6387671351455245E-10</v>
      </c>
      <c r="AV110" s="3">
        <f t="shared" si="105"/>
        <v>-9.7854827542429774</v>
      </c>
    </row>
    <row r="111" spans="1:48">
      <c r="D111" s="3"/>
      <c r="J111" s="4"/>
      <c r="K111" s="4"/>
      <c r="L111" s="3"/>
      <c r="M111" s="3"/>
      <c r="AD111" s="3"/>
      <c r="AF111" s="3"/>
    </row>
    <row r="112" spans="1:48">
      <c r="A112" s="2" t="s">
        <v>512</v>
      </c>
      <c r="B112" s="2">
        <v>1475</v>
      </c>
      <c r="C112" s="2">
        <f t="shared" si="84"/>
        <v>1201.8499999999999</v>
      </c>
      <c r="D112" s="3">
        <f t="shared" si="85"/>
        <v>6.7796610169491522</v>
      </c>
      <c r="E112" s="2">
        <v>0.5</v>
      </c>
      <c r="G112" s="2">
        <v>5.54</v>
      </c>
      <c r="J112" s="4">
        <f>47.8*10^(-10)</f>
        <v>4.7799999999999996E-9</v>
      </c>
      <c r="K112" s="4"/>
      <c r="L112" s="3">
        <f t="shared" si="71"/>
        <v>-8.3205721033878817</v>
      </c>
      <c r="M112" s="3"/>
      <c r="Q112" s="2" t="s">
        <v>513</v>
      </c>
      <c r="R112" s="2">
        <v>76.62</v>
      </c>
      <c r="S112" s="2">
        <v>0.13</v>
      </c>
      <c r="T112" s="2">
        <v>13.71</v>
      </c>
      <c r="V112" s="2">
        <v>0.88</v>
      </c>
      <c r="X112" s="2">
        <v>0.11</v>
      </c>
      <c r="Y112" s="2">
        <v>0.9</v>
      </c>
      <c r="Z112" s="2">
        <v>3.64</v>
      </c>
      <c r="AA112" s="2">
        <v>4.54</v>
      </c>
      <c r="AD112" s="3">
        <v>1.2842439970085873</v>
      </c>
      <c r="AF112" s="3">
        <v>12.539435733108308</v>
      </c>
      <c r="AG112" s="3">
        <f>R112/(28.086+15.999*2)</f>
        <v>1.2752146994208109</v>
      </c>
      <c r="AH112" s="3">
        <f>S112/(47.867+15.999*2)</f>
        <v>1.6277468227634134E-3</v>
      </c>
      <c r="AI112" s="3">
        <f>T112/(26.982*2+15.999*3)*2</f>
        <v>0.26892635419425076</v>
      </c>
      <c r="AJ112" s="3">
        <f>V112/(55.845*2+15.999*3)*2*0.1</f>
        <v>1.1021560928566509E-3</v>
      </c>
      <c r="AK112" s="3">
        <f>V112/(55.845+15.999)*0.9</f>
        <v>1.1023885084349426E-2</v>
      </c>
      <c r="AL112" s="3">
        <f>W112/(54.938+15.999)</f>
        <v>0</v>
      </c>
      <c r="AM112" s="3">
        <f>X112/(24.305+15.999)</f>
        <v>2.7292576419213972E-3</v>
      </c>
      <c r="AN112" s="3">
        <f>Y112/(40.078+15.999)</f>
        <v>1.6049360700465431E-2</v>
      </c>
      <c r="AO112" s="3">
        <f>Z112/(22.99*2+15.999)*2</f>
        <v>0.11745913938592105</v>
      </c>
      <c r="AP112" s="3">
        <f>AA112/(39.098*2+15.999)*2</f>
        <v>9.6395774722649832E-2</v>
      </c>
      <c r="AQ112" s="6">
        <f>(AO112+AP112+2*(AK112+AL112+AM112+AN112)-AJ112-AI112)/(AG112+AH112+AI112+AJ112)</f>
        <v>2.2182914873726629E-3</v>
      </c>
      <c r="AR112" s="6">
        <f>SUM(AG112:AP112)</f>
        <v>1.7905283740659887</v>
      </c>
      <c r="AS112" s="8">
        <f>-13.95+5.15*(G112/(1.007975*2+15.999)*2+4.1*(Y112/(40.078+15.999))-(X112/(24.3055+15.999)))/AR112-((36475*((R112/(28.085+15.999*2))+(T112/(26.982*2+15.999*3))*2-(1.8*(V112/(55.845+15.999))))/AR112)-11088*E112*(((R112/(28.085+15.999))+(T112/(26.982*2+15.999*3))*2)/AR112-2/3))/(C112+273.15)</f>
        <v>-31.314106276921986</v>
      </c>
      <c r="AT112" s="4">
        <f>EXP(AS112)</f>
        <v>2.5145277812666844E-14</v>
      </c>
      <c r="AU112" s="4">
        <f>AT112*10000</f>
        <v>2.5145277812666843E-10</v>
      </c>
      <c r="AV112" s="3">
        <f>LOG(AU112)</f>
        <v>-9.5995435617991998</v>
      </c>
    </row>
    <row r="113" spans="1:48">
      <c r="A113" s="2" t="s">
        <v>514</v>
      </c>
      <c r="B113" s="2">
        <v>1270</v>
      </c>
      <c r="C113" s="2">
        <f t="shared" si="84"/>
        <v>996.85</v>
      </c>
      <c r="D113" s="3">
        <f t="shared" si="85"/>
        <v>7.8740157480314963</v>
      </c>
      <c r="E113" s="2">
        <v>0.5</v>
      </c>
      <c r="G113" s="2">
        <v>5.54</v>
      </c>
      <c r="J113" s="4">
        <f>3.36*10^(-10)</f>
        <v>3.3599999999999998E-10</v>
      </c>
      <c r="K113" s="4"/>
      <c r="L113" s="3">
        <f t="shared" si="71"/>
        <v>-9.4736607226101555</v>
      </c>
      <c r="M113" s="3"/>
      <c r="Q113" s="2" t="s">
        <v>513</v>
      </c>
      <c r="R113" s="2">
        <v>76.62</v>
      </c>
      <c r="S113" s="2">
        <v>0.13</v>
      </c>
      <c r="T113" s="2">
        <v>13.71</v>
      </c>
      <c r="V113" s="2">
        <v>0.88</v>
      </c>
      <c r="X113" s="2">
        <v>0.11</v>
      </c>
      <c r="Y113" s="2">
        <v>0.9</v>
      </c>
      <c r="Z113" s="2">
        <v>3.64</v>
      </c>
      <c r="AA113" s="2">
        <v>4.54</v>
      </c>
      <c r="AD113" s="3">
        <v>1.2842439970085873</v>
      </c>
      <c r="AF113" s="3">
        <v>12.539435733108308</v>
      </c>
      <c r="AG113" s="3">
        <f>R113/(28.086+15.999*2)</f>
        <v>1.2752146994208109</v>
      </c>
      <c r="AH113" s="3">
        <f>S113/(47.867+15.999*2)</f>
        <v>1.6277468227634134E-3</v>
      </c>
      <c r="AI113" s="3">
        <f>T113/(26.982*2+15.999*3)*2</f>
        <v>0.26892635419425076</v>
      </c>
      <c r="AJ113" s="3">
        <f>V113/(55.845*2+15.999*3)*2*0.1</f>
        <v>1.1021560928566509E-3</v>
      </c>
      <c r="AK113" s="3">
        <f>V113/(55.845+15.999)*0.9</f>
        <v>1.1023885084349426E-2</v>
      </c>
      <c r="AL113" s="3">
        <f>W113/(54.938+15.999)</f>
        <v>0</v>
      </c>
      <c r="AM113" s="3">
        <f>X113/(24.305+15.999)</f>
        <v>2.7292576419213972E-3</v>
      </c>
      <c r="AN113" s="3">
        <f>Y113/(40.078+15.999)</f>
        <v>1.6049360700465431E-2</v>
      </c>
      <c r="AO113" s="3">
        <f>Z113/(22.99*2+15.999)*2</f>
        <v>0.11745913938592105</v>
      </c>
      <c r="AP113" s="3">
        <f>AA113/(39.098*2+15.999)*2</f>
        <v>9.6395774722649832E-2</v>
      </c>
      <c r="AQ113" s="6">
        <f>(AO113+AP113+2*(AK113+AL113+AM113+AN113)-AJ113-AI113)/(AG113+AH113+AI113+AJ113)</f>
        <v>2.2182914873726629E-3</v>
      </c>
      <c r="AR113" s="6">
        <f>SUM(AG113:AP113)</f>
        <v>1.7905283740659887</v>
      </c>
      <c r="AS113" s="8">
        <f>-13.95+5.15*(G113/(1.007975*2+15.999)*2+4.1*(Y113/(40.078+15.999))-(X113/(24.3055+15.999)))/AR113-((36475*((R113/(28.085+15.999*2))+(T113/(26.982*2+15.999*3))*2-(1.8*(V113/(55.845+15.999))))/AR113)-11088*E113*(((R113/(28.085+15.999))+(T113/(26.982*2+15.999*3))*2)/AR113-2/3))/(C113+273.15)</f>
        <v>-34.431807630696134</v>
      </c>
      <c r="AT113" s="4">
        <f>EXP(AS113)</f>
        <v>1.1128994916466587E-15</v>
      </c>
      <c r="AU113" s="4">
        <f>AT113*10000</f>
        <v>1.1128994916466587E-11</v>
      </c>
      <c r="AV113" s="3">
        <f>LOG(AU113)</f>
        <v>-10.95354405596561</v>
      </c>
    </row>
    <row r="114" spans="1:48">
      <c r="A114" s="2" t="s">
        <v>515</v>
      </c>
      <c r="B114" s="2">
        <v>1671</v>
      </c>
      <c r="C114" s="2">
        <f t="shared" si="84"/>
        <v>1397.85</v>
      </c>
      <c r="D114" s="3">
        <f t="shared" si="85"/>
        <v>5.9844404548174746</v>
      </c>
      <c r="E114" s="2">
        <v>0.5</v>
      </c>
      <c r="G114" s="2">
        <v>5.54</v>
      </c>
      <c r="J114" s="4">
        <f>290*10^(-10)</f>
        <v>2.9000000000000002E-8</v>
      </c>
      <c r="K114" s="4"/>
      <c r="L114" s="3">
        <f t="shared" si="71"/>
        <v>-7.5376020021010435</v>
      </c>
      <c r="M114" s="3"/>
      <c r="Q114" s="2" t="s">
        <v>513</v>
      </c>
      <c r="R114" s="2">
        <v>76.62</v>
      </c>
      <c r="S114" s="2">
        <v>0.13</v>
      </c>
      <c r="T114" s="2">
        <v>13.71</v>
      </c>
      <c r="V114" s="2">
        <v>0.88</v>
      </c>
      <c r="X114" s="2">
        <v>0.11</v>
      </c>
      <c r="Y114" s="2">
        <v>0.9</v>
      </c>
      <c r="Z114" s="2">
        <v>3.64</v>
      </c>
      <c r="AA114" s="2">
        <v>4.54</v>
      </c>
      <c r="AD114" s="3">
        <v>1.2842439970085873</v>
      </c>
      <c r="AF114" s="3">
        <v>12.539435733108308</v>
      </c>
      <c r="AG114" s="3">
        <f>R114/(28.086+15.999*2)</f>
        <v>1.2752146994208109</v>
      </c>
      <c r="AH114" s="3">
        <f>S114/(47.867+15.999*2)</f>
        <v>1.6277468227634134E-3</v>
      </c>
      <c r="AI114" s="3">
        <f>T114/(26.982*2+15.999*3)*2</f>
        <v>0.26892635419425076</v>
      </c>
      <c r="AJ114" s="3">
        <f>V114/(55.845*2+15.999*3)*2*0.1</f>
        <v>1.1021560928566509E-3</v>
      </c>
      <c r="AK114" s="3">
        <f>V114/(55.845+15.999)*0.9</f>
        <v>1.1023885084349426E-2</v>
      </c>
      <c r="AL114" s="3">
        <f>W114/(54.938+15.999)</f>
        <v>0</v>
      </c>
      <c r="AM114" s="3">
        <f>X114/(24.305+15.999)</f>
        <v>2.7292576419213972E-3</v>
      </c>
      <c r="AN114" s="3">
        <f>Y114/(40.078+15.999)</f>
        <v>1.6049360700465431E-2</v>
      </c>
      <c r="AO114" s="3">
        <f>Z114/(22.99*2+15.999)*2</f>
        <v>0.11745913938592105</v>
      </c>
      <c r="AP114" s="3">
        <f>AA114/(39.098*2+15.999)*2</f>
        <v>9.6395774722649832E-2</v>
      </c>
      <c r="AQ114" s="6">
        <f>(AO114+AP114+2*(AK114+AL114+AM114+AN114)-AJ114-AI114)/(AG114+AH114+AI114+AJ114)</f>
        <v>2.2182914873726629E-3</v>
      </c>
      <c r="AR114" s="6">
        <f>SUM(AG114:AP114)</f>
        <v>1.7905283740659887</v>
      </c>
      <c r="AS114" s="8">
        <f>-13.95+5.15*(G114/(1.007975*2+15.999)*2+4.1*(Y114/(40.078+15.999))-(X114/(24.3055+15.999)))/AR114-((36475*((R114/(28.085+15.999*2))+(T114/(26.982*2+15.999*3))*2-(1.8*(V114/(55.845+15.999))))/AR114)-11088*E114*(((R114/(28.085+15.999))+(T114/(26.982*2+15.999*3))*2)/AR114-2/3))/(C114+273.15)</f>
        <v>-29.048606660856066</v>
      </c>
      <c r="AT114" s="4">
        <f>EXP(AS114)</f>
        <v>2.4229832964580481E-13</v>
      </c>
      <c r="AU114" s="4">
        <f>AT114*10000</f>
        <v>2.4229832964580482E-9</v>
      </c>
      <c r="AV114" s="3">
        <f>LOG(AU114)</f>
        <v>-8.615649579787835</v>
      </c>
    </row>
    <row r="116" spans="1:48">
      <c r="A116" s="1" t="s">
        <v>516</v>
      </c>
      <c r="B116" s="2">
        <f>C116+273.15</f>
        <v>1473.15</v>
      </c>
      <c r="C116" s="2">
        <v>1200</v>
      </c>
      <c r="D116" s="3">
        <f>10000/B116</f>
        <v>6.7881749991514777</v>
      </c>
      <c r="E116" s="2">
        <v>1</v>
      </c>
      <c r="F116" s="2">
        <f>48*60*60</f>
        <v>172800</v>
      </c>
      <c r="G116" s="2">
        <v>0</v>
      </c>
      <c r="J116" s="4">
        <f>K116*10000</f>
        <v>2.2833837548875992E-8</v>
      </c>
      <c r="K116" s="4">
        <f>10^(O116)*EXP((-P116/(0.008314*B116)))</f>
        <v>2.2833837548875991E-12</v>
      </c>
      <c r="L116" s="3">
        <f>LOG(J116)</f>
        <v>-7.6414210930545305</v>
      </c>
      <c r="O116" s="2">
        <v>-3.85</v>
      </c>
      <c r="P116" s="2">
        <v>219.73</v>
      </c>
      <c r="R116" s="2">
        <v>50.02</v>
      </c>
      <c r="S116" s="2">
        <v>1.62</v>
      </c>
      <c r="T116" s="2">
        <v>16.010000000000002</v>
      </c>
      <c r="U116" s="2">
        <v>1.98</v>
      </c>
      <c r="V116" s="2">
        <v>7.62</v>
      </c>
      <c r="W116" s="2">
        <v>0.25</v>
      </c>
      <c r="X116" s="2">
        <v>8.5</v>
      </c>
      <c r="Y116" s="2">
        <v>10.79</v>
      </c>
      <c r="Z116" s="2">
        <v>3</v>
      </c>
      <c r="AA116" s="2">
        <v>0.2</v>
      </c>
      <c r="AD116" s="2">
        <v>3.32</v>
      </c>
      <c r="AF116" s="2">
        <v>2.4700000000000002</v>
      </c>
      <c r="AG116" s="3">
        <f>R116/(28.086+15.999*2)</f>
        <v>0.83250116503561677</v>
      </c>
      <c r="AH116" s="3">
        <f>S116/(47.867+15.999*2)</f>
        <v>2.0284229637513307E-2</v>
      </c>
      <c r="AI116" s="3">
        <f>T116/(26.982*2+15.999*3)*2</f>
        <v>0.31404164337344675</v>
      </c>
      <c r="AJ116" s="3">
        <f>V116/(55.845*2+15.999*3)*2*0.1</f>
        <v>9.543669804054182E-3</v>
      </c>
      <c r="AK116" s="3">
        <f>V116/(55.845+15.999)*0.9</f>
        <v>9.5456823116752978E-2</v>
      </c>
      <c r="AL116" s="3">
        <f>W116/(54.938+15.999)</f>
        <v>3.5242539154461002E-3</v>
      </c>
      <c r="AM116" s="3">
        <f>X116/(24.305+15.999)</f>
        <v>0.21089718142119887</v>
      </c>
      <c r="AN116" s="3">
        <f>Y116/(40.078+15.999)</f>
        <v>0.19241400217557997</v>
      </c>
      <c r="AO116" s="3">
        <f>Z116/(22.99*2+15.999)*2</f>
        <v>9.6806983010374478E-2</v>
      </c>
      <c r="AP116" s="3">
        <f>AA116/(39.098*2+15.999)*2</f>
        <v>4.2465098996762041E-3</v>
      </c>
      <c r="AQ116" s="6">
        <f>(AO116+AP116+2*(AK116+AL116+AM116+AN116)-AJ116-AI116)/(AG116+AH116+AI116+AJ116)</f>
        <v>0.66480123635465971</v>
      </c>
      <c r="AR116" s="6">
        <f>SUM(AG116:AP116)</f>
        <v>1.7797164613896594</v>
      </c>
      <c r="AS116" s="8">
        <f>-13.95+5.15*(G115/(1.007975*2+15.999)*2+4.1*(Y116/(40.078+15.999))-(X116/(24.3055+15.999)))/AR116-((36475*((R116/(28.085+15.999*2))+(T116/(26.982*2+15.999*3))*2-(1.8*(V116/(55.845+15.999))))/AR116)-11088*E115*(((R116/(28.085+15.999))+(T116/(26.982*2+15.999*3))*2)/AR116-2/3))/(C116+273.15)</f>
        <v>-25.572570831009344</v>
      </c>
      <c r="AT116" s="4">
        <f>EXP(AS116)</f>
        <v>7.8338202092215116E-12</v>
      </c>
      <c r="AU116" s="4">
        <f>AT116*10000</f>
        <v>7.8338202092215115E-8</v>
      </c>
      <c r="AV116" s="3">
        <f>LOG(AU116)</f>
        <v>-7.1060263999874129</v>
      </c>
    </row>
    <row r="117" spans="1:48">
      <c r="B117" s="2">
        <f>C117+273.15</f>
        <v>1573.15</v>
      </c>
      <c r="C117" s="2">
        <v>1300</v>
      </c>
      <c r="D117" s="3">
        <f>10000/B117</f>
        <v>6.3566729173950351</v>
      </c>
      <c r="E117" s="2">
        <v>1</v>
      </c>
      <c r="F117" s="2">
        <f>48*60*60</f>
        <v>172800</v>
      </c>
      <c r="G117" s="2">
        <v>0</v>
      </c>
      <c r="J117" s="4">
        <f>K117*10000</f>
        <v>7.1425626997079156E-8</v>
      </c>
      <c r="K117" s="4">
        <f>10^(O117)*EXP((-P117/(0.008314*B117)))</f>
        <v>7.1425626997079157E-12</v>
      </c>
      <c r="L117" s="3">
        <f>LOG(J117)</f>
        <v>-7.1461459385521291</v>
      </c>
      <c r="O117" s="2">
        <v>-3.85</v>
      </c>
      <c r="P117" s="2">
        <v>219.73</v>
      </c>
      <c r="R117" s="2">
        <v>50.02</v>
      </c>
      <c r="S117" s="2">
        <v>1.62</v>
      </c>
      <c r="T117" s="2">
        <v>16.010000000000002</v>
      </c>
      <c r="U117" s="2">
        <v>1.98</v>
      </c>
      <c r="V117" s="2">
        <v>7.62</v>
      </c>
      <c r="W117" s="2">
        <v>0.25</v>
      </c>
      <c r="X117" s="2">
        <v>8.5</v>
      </c>
      <c r="Y117" s="2">
        <v>10.79</v>
      </c>
      <c r="Z117" s="2">
        <v>3</v>
      </c>
      <c r="AA117" s="2">
        <v>0.2</v>
      </c>
      <c r="AD117" s="2">
        <v>3.32</v>
      </c>
      <c r="AF117" s="2">
        <v>2.4700000000000002</v>
      </c>
      <c r="AG117" s="3">
        <f>R117/(28.086+15.999*2)</f>
        <v>0.83250116503561677</v>
      </c>
      <c r="AH117" s="3">
        <f>S117/(47.867+15.999*2)</f>
        <v>2.0284229637513307E-2</v>
      </c>
      <c r="AI117" s="3">
        <f>T117/(26.982*2+15.999*3)*2</f>
        <v>0.31404164337344675</v>
      </c>
      <c r="AJ117" s="3">
        <f>V117/(55.845*2+15.999*3)*2*0.1</f>
        <v>9.543669804054182E-3</v>
      </c>
      <c r="AK117" s="3">
        <f>V117/(55.845+15.999)*0.9</f>
        <v>9.5456823116752978E-2</v>
      </c>
      <c r="AL117" s="3">
        <f>W117/(54.938+15.999)</f>
        <v>3.5242539154461002E-3</v>
      </c>
      <c r="AM117" s="3">
        <f>X117/(24.305+15.999)</f>
        <v>0.21089718142119887</v>
      </c>
      <c r="AN117" s="3">
        <f>Y117/(40.078+15.999)</f>
        <v>0.19241400217557997</v>
      </c>
      <c r="AO117" s="3">
        <f>Z117/(22.99*2+15.999)*2</f>
        <v>9.6806983010374478E-2</v>
      </c>
      <c r="AP117" s="3">
        <f>AA117/(39.098*2+15.999)*2</f>
        <v>4.2465098996762041E-3</v>
      </c>
      <c r="AQ117" s="6">
        <f>(AO117+AP117+2*(AK117+AL117+AM117+AN117)-AJ117-AI117)/(AG117+AH117+AI117+AJ117)</f>
        <v>0.66480123635465971</v>
      </c>
      <c r="AR117" s="6">
        <f>SUM(AG117:AP117)</f>
        <v>1.7797164613896594</v>
      </c>
      <c r="AS117" s="8">
        <f>-13.95+5.15*(G116/(1.007975*2+15.999)*2+4.1*(Y117/(40.078+15.999))-(X117/(24.3055+15.999)))/AR117-((36475*((R117/(28.085+15.999*2))+(T117/(26.982*2+15.999*3))*2-(1.8*(V117/(55.845+15.999))))/AR117)-11088*E116*(((R117/(28.085+15.999))+(T117/(26.982*2+15.999*3))*2)/AR117-2/3))/(C117+273.15)</f>
        <v>-23.688977565521732</v>
      </c>
      <c r="AT117" s="4">
        <f>EXP(AS117)</f>
        <v>5.152378524187072E-11</v>
      </c>
      <c r="AU117" s="4">
        <f>AT117*10000</f>
        <v>5.1523785241870717E-7</v>
      </c>
      <c r="AV117" s="3">
        <f>LOG(AU117)</f>
        <v>-6.2879922386360168</v>
      </c>
    </row>
    <row r="118" spans="1:48">
      <c r="B118" s="2">
        <f>C118+273.15</f>
        <v>1673.15</v>
      </c>
      <c r="C118" s="2">
        <v>1400</v>
      </c>
      <c r="D118" s="3">
        <f>10000/B118</f>
        <v>5.9767504407853451</v>
      </c>
      <c r="E118" s="2">
        <v>1</v>
      </c>
      <c r="F118" s="2">
        <f>48*60*60</f>
        <v>172800</v>
      </c>
      <c r="G118" s="2">
        <v>0</v>
      </c>
      <c r="J118" s="4">
        <f>K118*10000</f>
        <v>1.9495146179740866E-7</v>
      </c>
      <c r="K118" s="4">
        <f>10^(O118)*EXP((-P118/(0.008314*B118)))</f>
        <v>1.9495146179740867E-11</v>
      </c>
      <c r="L118" s="3">
        <f>LOG(J118)</f>
        <v>-6.7100735040093724</v>
      </c>
      <c r="O118" s="2">
        <v>-3.85</v>
      </c>
      <c r="P118" s="2">
        <v>219.73</v>
      </c>
      <c r="R118" s="2">
        <v>50.02</v>
      </c>
      <c r="S118" s="2">
        <v>1.62</v>
      </c>
      <c r="T118" s="2">
        <v>16.010000000000002</v>
      </c>
      <c r="U118" s="2">
        <v>1.98</v>
      </c>
      <c r="V118" s="2">
        <v>7.62</v>
      </c>
      <c r="W118" s="2">
        <v>0.25</v>
      </c>
      <c r="X118" s="2">
        <v>8.5</v>
      </c>
      <c r="Y118" s="2">
        <v>10.79</v>
      </c>
      <c r="Z118" s="2">
        <v>3</v>
      </c>
      <c r="AA118" s="2">
        <v>0.2</v>
      </c>
      <c r="AD118" s="2">
        <v>3.32</v>
      </c>
      <c r="AF118" s="2">
        <v>2.4700000000000002</v>
      </c>
      <c r="AG118" s="3">
        <f>R118/(28.086+15.999*2)</f>
        <v>0.83250116503561677</v>
      </c>
      <c r="AH118" s="3">
        <f>S118/(47.867+15.999*2)</f>
        <v>2.0284229637513307E-2</v>
      </c>
      <c r="AI118" s="3">
        <f>T118/(26.982*2+15.999*3)*2</f>
        <v>0.31404164337344675</v>
      </c>
      <c r="AJ118" s="3">
        <f>V118/(55.845*2+15.999*3)*2*0.1</f>
        <v>9.543669804054182E-3</v>
      </c>
      <c r="AK118" s="3">
        <f>V118/(55.845+15.999)*0.9</f>
        <v>9.5456823116752978E-2</v>
      </c>
      <c r="AL118" s="3">
        <f>W118/(54.938+15.999)</f>
        <v>3.5242539154461002E-3</v>
      </c>
      <c r="AM118" s="3">
        <f>X118/(24.305+15.999)</f>
        <v>0.21089718142119887</v>
      </c>
      <c r="AN118" s="3">
        <f>Y118/(40.078+15.999)</f>
        <v>0.19241400217557997</v>
      </c>
      <c r="AO118" s="3">
        <f>Z118/(22.99*2+15.999)*2</f>
        <v>9.6806983010374478E-2</v>
      </c>
      <c r="AP118" s="3">
        <f>AA118/(39.098*2+15.999)*2</f>
        <v>4.2465098996762041E-3</v>
      </c>
      <c r="AQ118" s="6">
        <f>(AO118+AP118+2*(AK118+AL118+AM118+AN118)-AJ118-AI118)/(AG118+AH118+AI118+AJ118)</f>
        <v>0.66480123635465971</v>
      </c>
      <c r="AR118" s="6">
        <f>SUM(AG118:AP118)</f>
        <v>1.7797164613896594</v>
      </c>
      <c r="AS118" s="8">
        <f>-13.95+5.15*(G117/(1.007975*2+15.999)*2+4.1*(Y118/(40.078+15.999))-(X118/(24.3055+15.999)))/AR118-((36475*((R118/(28.085+15.999*2))+(T118/(26.982*2+15.999*3))*2-(1.8*(V118/(55.845+15.999))))/AR118)-11088*E117*(((R118/(28.085+15.999))+(T118/(26.982*2+15.999*3))*2)/AR118-2/3))/(C118+273.15)</f>
        <v>-23.006937366414292</v>
      </c>
      <c r="AT118" s="4">
        <f>EXP(AS118)</f>
        <v>1.0190935579566823E-10</v>
      </c>
      <c r="AU118" s="4">
        <f>AT118*10000</f>
        <v>1.0190935579566824E-6</v>
      </c>
      <c r="AV118" s="3">
        <f>LOG(AU118)</f>
        <v>-5.9917859437274599</v>
      </c>
    </row>
    <row r="119" spans="1:48">
      <c r="B119" s="2">
        <f>C119+273.15</f>
        <v>1773.15</v>
      </c>
      <c r="C119" s="2">
        <v>1500</v>
      </c>
      <c r="D119" s="3">
        <f>10000/B119</f>
        <v>5.6396807940670559</v>
      </c>
      <c r="E119" s="2">
        <v>1</v>
      </c>
      <c r="F119" s="2">
        <f>48*60*60</f>
        <v>172800</v>
      </c>
      <c r="G119" s="2">
        <v>0</v>
      </c>
      <c r="J119" s="4">
        <f>K119*10000</f>
        <v>4.7513031830719025E-7</v>
      </c>
      <c r="K119" s="4">
        <f>10^(O119)*EXP((-P119/(0.008314*B119)))</f>
        <v>4.7513031830719024E-11</v>
      </c>
      <c r="L119" s="3">
        <f>LOG(J119)</f>
        <v>-6.3231872561448741</v>
      </c>
      <c r="O119" s="2">
        <v>-3.85</v>
      </c>
      <c r="P119" s="2">
        <v>219.73</v>
      </c>
      <c r="R119" s="2">
        <v>50.02</v>
      </c>
      <c r="S119" s="2">
        <v>1.62</v>
      </c>
      <c r="T119" s="2">
        <v>16.010000000000002</v>
      </c>
      <c r="U119" s="2">
        <v>1.98</v>
      </c>
      <c r="V119" s="2">
        <v>7.62</v>
      </c>
      <c r="W119" s="2">
        <v>0.25</v>
      </c>
      <c r="X119" s="2">
        <v>8.5</v>
      </c>
      <c r="Y119" s="2">
        <v>10.79</v>
      </c>
      <c r="Z119" s="2">
        <v>3</v>
      </c>
      <c r="AA119" s="2">
        <v>0.2</v>
      </c>
      <c r="AD119" s="2">
        <v>3.32</v>
      </c>
      <c r="AF119" s="2">
        <v>2.4700000000000002</v>
      </c>
      <c r="AG119" s="3">
        <f>R119/(28.086+15.999*2)</f>
        <v>0.83250116503561677</v>
      </c>
      <c r="AH119" s="3">
        <f>S119/(47.867+15.999*2)</f>
        <v>2.0284229637513307E-2</v>
      </c>
      <c r="AI119" s="3">
        <f>T119/(26.982*2+15.999*3)*2</f>
        <v>0.31404164337344675</v>
      </c>
      <c r="AJ119" s="3">
        <f>V119/(55.845*2+15.999*3)*2*0.1</f>
        <v>9.543669804054182E-3</v>
      </c>
      <c r="AK119" s="3">
        <f>V119/(55.845+15.999)*0.9</f>
        <v>9.5456823116752978E-2</v>
      </c>
      <c r="AL119" s="3">
        <f>W119/(54.938+15.999)</f>
        <v>3.5242539154461002E-3</v>
      </c>
      <c r="AM119" s="3">
        <f>X119/(24.305+15.999)</f>
        <v>0.21089718142119887</v>
      </c>
      <c r="AN119" s="3">
        <f>Y119/(40.078+15.999)</f>
        <v>0.19241400217557997</v>
      </c>
      <c r="AO119" s="3">
        <f>Z119/(22.99*2+15.999)*2</f>
        <v>9.6806983010374478E-2</v>
      </c>
      <c r="AP119" s="3">
        <f>AA119/(39.098*2+15.999)*2</f>
        <v>4.2465098996762041E-3</v>
      </c>
      <c r="AQ119" s="6">
        <f>(AO119+AP119+2*(AK119+AL119+AM119+AN119)-AJ119-AI119)/(AG119+AH119+AI119+AJ119)</f>
        <v>0.66480123635465971</v>
      </c>
      <c r="AR119" s="6">
        <f>SUM(AG119:AP119)</f>
        <v>1.7797164613896594</v>
      </c>
      <c r="AS119" s="8">
        <f>-13.95+5.15*(G118/(1.007975*2+15.999)*2+4.1*(Y119/(40.078+15.999))-(X119/(24.3055+15.999)))/AR119-((36475*((R119/(28.085+15.999*2))+(T119/(26.982*2+15.999*3))*2-(1.8*(V119/(55.845+15.999))))/AR119)-11088*E118*(((R119/(28.085+15.999))+(T119/(26.982*2+15.999*3))*2)/AR119-2/3))/(C119+273.15)</f>
        <v>-22.401826947540609</v>
      </c>
      <c r="AT119" s="4">
        <f>EXP(AS119)</f>
        <v>1.8664234060621438E-10</v>
      </c>
      <c r="AU119" s="4">
        <f>AT119*10000</f>
        <v>1.8664234060621439E-6</v>
      </c>
      <c r="AV119" s="3">
        <f>LOG(AU119)</f>
        <v>-5.7289898278684541</v>
      </c>
    </row>
    <row r="121" spans="1:48">
      <c r="A121" s="1" t="s">
        <v>517</v>
      </c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6"/>
      <c r="AR121" s="6"/>
      <c r="AS121" s="8"/>
      <c r="AT121" s="4"/>
      <c r="AU121" s="4"/>
      <c r="AV121" s="3"/>
    </row>
    <row r="122" spans="1:48">
      <c r="A122" s="2" t="s">
        <v>518</v>
      </c>
      <c r="B122" s="2">
        <f t="shared" ref="B122:B133" si="106">C122+273.15</f>
        <v>1193.1500000000001</v>
      </c>
      <c r="C122" s="2">
        <v>920</v>
      </c>
      <c r="D122" s="3">
        <f t="shared" ref="D122:D133" si="107">10000/B122</f>
        <v>8.3811758789758191</v>
      </c>
      <c r="E122" s="2">
        <v>1</v>
      </c>
      <c r="F122" s="2">
        <f>129.6*1000</f>
        <v>129600</v>
      </c>
      <c r="G122" s="2">
        <v>5.81</v>
      </c>
      <c r="J122" s="4">
        <f t="shared" ref="J122:J133" si="108">K122*10000</f>
        <v>6.5300000000000002E-10</v>
      </c>
      <c r="K122" s="4">
        <v>6.5299999999999997E-14</v>
      </c>
      <c r="L122" s="3">
        <f t="shared" ref="L122:L133" si="109">LOG(J122)</f>
        <v>-9.1850868187249262</v>
      </c>
      <c r="R122" s="2">
        <v>76.77</v>
      </c>
      <c r="S122" s="2">
        <v>0.15</v>
      </c>
      <c r="T122" s="2">
        <v>13.32</v>
      </c>
      <c r="V122" s="2">
        <v>0.78</v>
      </c>
      <c r="W122" s="2">
        <v>0.08</v>
      </c>
      <c r="X122" s="2">
        <v>0.08</v>
      </c>
      <c r="Y122" s="2">
        <v>0.62</v>
      </c>
      <c r="Z122" s="2">
        <v>4.04</v>
      </c>
      <c r="AA122" s="2">
        <v>3.91</v>
      </c>
      <c r="AD122" s="2">
        <v>3.32</v>
      </c>
      <c r="AF122" s="2">
        <v>2.4700000000000002</v>
      </c>
      <c r="AG122" s="3">
        <f t="shared" ref="AG122:AG133" si="110">R122/(28.086+15.999*2)</f>
        <v>1.2777112043139602</v>
      </c>
      <c r="AH122" s="3">
        <f t="shared" ref="AH122:AH133" si="111">S122/(47.867+15.999*2)</f>
        <v>1.8781694108808615E-3</v>
      </c>
      <c r="AI122" s="3">
        <f t="shared" ref="AI122:AI133" si="112">T122/(26.982*2+15.999*3)*2</f>
        <v>0.26127637037690882</v>
      </c>
      <c r="AJ122" s="3">
        <f t="shared" ref="AJ122:AJ133" si="113">V122/(55.845*2+15.999*3)*2*0.1</f>
        <v>9.7691108230475872E-4</v>
      </c>
      <c r="AK122" s="3">
        <f t="shared" ref="AK122:AK133" si="114">V122/(55.845+15.999)*0.9</f>
        <v>9.7711708702188094E-3</v>
      </c>
      <c r="AL122" s="3">
        <f t="shared" ref="AL122:AL133" si="115">W122/(54.938+15.999)</f>
        <v>1.1277612529427522E-3</v>
      </c>
      <c r="AM122" s="3">
        <f t="shared" ref="AM122:AM133" si="116">X122/(24.305+15.999)</f>
        <v>1.9849146486701072E-3</v>
      </c>
      <c r="AN122" s="3">
        <f t="shared" ref="AN122:AN133" si="117">Y122/(40.078+15.999)</f>
        <v>1.105622626032063E-2</v>
      </c>
      <c r="AO122" s="3">
        <f t="shared" ref="AO122:AO133" si="118">Z122/(22.99*2+15.999)*2</f>
        <v>0.13036673712063765</v>
      </c>
      <c r="AP122" s="3">
        <f t="shared" ref="AP122:AP133" si="119">AA122/(39.098*2+15.999)*2</f>
        <v>8.3019268538669796E-2</v>
      </c>
      <c r="AQ122" s="6">
        <f t="shared" ref="AQ122:AQ133" si="120">(AO122+AP122+2*(AK122+AL122+AM122+AN122)-AJ122-AI122)/(AG122+AH122+AI122+AJ122)</f>
        <v>-6.4022728407634973E-4</v>
      </c>
      <c r="AR122" s="6">
        <f t="shared" ref="AR122:AR133" si="121">SUM(AG122:AP122)</f>
        <v>1.7791687338755144</v>
      </c>
      <c r="AS122" s="8">
        <f>-13.95+5.15*(G122/(1.007975*2+15.999)*2+4.1*(Y122/(40.078+15.999))-(X122/(24.3055+15.999)))/AR122-((36475*((R122/(28.085+15.999*2))+(T122/(26.982*2+15.999*3))*2-(1.8*(V122/(55.845+15.999))))/AR122)-11088*E122*(((R122/(28.085+15.999))+(T122/(26.982*2+15.999*3))*2)/AR122-2/3))/(C122+273.15)</f>
        <v>-33.800117956134159</v>
      </c>
      <c r="AT122" s="4">
        <f t="shared" ref="AT122:AT133" si="122">EXP(AS122)</f>
        <v>2.0931255739562922E-15</v>
      </c>
      <c r="AU122" s="4">
        <f t="shared" ref="AU122:AU133" si="123">AT122*10000</f>
        <v>2.0931255739562921E-11</v>
      </c>
      <c r="AV122" s="3">
        <f t="shared" ref="AV122:AV133" si="124">LOG(AU122)</f>
        <v>-10.679204716028083</v>
      </c>
    </row>
    <row r="123" spans="1:48">
      <c r="A123" s="2" t="s">
        <v>519</v>
      </c>
      <c r="B123" s="2">
        <f t="shared" si="106"/>
        <v>1148.1500000000001</v>
      </c>
      <c r="C123" s="2">
        <v>875</v>
      </c>
      <c r="D123" s="3">
        <f t="shared" si="107"/>
        <v>8.7096633715106897</v>
      </c>
      <c r="E123" s="2">
        <v>1</v>
      </c>
      <c r="F123" s="2">
        <f>172.8*1000</f>
        <v>172800</v>
      </c>
      <c r="G123" s="2">
        <v>6.7</v>
      </c>
      <c r="J123" s="4">
        <f t="shared" si="108"/>
        <v>3.0500000000000003E-10</v>
      </c>
      <c r="K123" s="4">
        <v>3.0500000000000003E-14</v>
      </c>
      <c r="L123" s="3">
        <f t="shared" si="109"/>
        <v>-9.5157001606532141</v>
      </c>
      <c r="R123" s="2">
        <v>76.77</v>
      </c>
      <c r="S123" s="2">
        <v>0.15</v>
      </c>
      <c r="T123" s="2">
        <v>13.32</v>
      </c>
      <c r="V123" s="2">
        <v>0.78</v>
      </c>
      <c r="W123" s="2">
        <v>0.08</v>
      </c>
      <c r="X123" s="2">
        <v>0.08</v>
      </c>
      <c r="Y123" s="2">
        <v>0.62</v>
      </c>
      <c r="Z123" s="2">
        <v>4.04</v>
      </c>
      <c r="AA123" s="2">
        <v>3.91</v>
      </c>
      <c r="AD123" s="2">
        <v>3.32</v>
      </c>
      <c r="AF123" s="2">
        <v>2.4700000000000002</v>
      </c>
      <c r="AG123" s="3">
        <f t="shared" si="110"/>
        <v>1.2777112043139602</v>
      </c>
      <c r="AH123" s="3">
        <f t="shared" si="111"/>
        <v>1.8781694108808615E-3</v>
      </c>
      <c r="AI123" s="3">
        <f t="shared" si="112"/>
        <v>0.26127637037690882</v>
      </c>
      <c r="AJ123" s="3">
        <f t="shared" si="113"/>
        <v>9.7691108230475872E-4</v>
      </c>
      <c r="AK123" s="3">
        <f t="shared" si="114"/>
        <v>9.7711708702188094E-3</v>
      </c>
      <c r="AL123" s="3">
        <f t="shared" si="115"/>
        <v>1.1277612529427522E-3</v>
      </c>
      <c r="AM123" s="3">
        <f t="shared" si="116"/>
        <v>1.9849146486701072E-3</v>
      </c>
      <c r="AN123" s="3">
        <f t="shared" si="117"/>
        <v>1.105622626032063E-2</v>
      </c>
      <c r="AO123" s="3">
        <f t="shared" si="118"/>
        <v>0.13036673712063765</v>
      </c>
      <c r="AP123" s="3">
        <f t="shared" si="119"/>
        <v>8.3019268538669796E-2</v>
      </c>
      <c r="AQ123" s="6">
        <f t="shared" si="120"/>
        <v>-6.4022728407634973E-4</v>
      </c>
      <c r="AR123" s="6">
        <f t="shared" si="121"/>
        <v>1.7791687338755144</v>
      </c>
      <c r="AS123" s="8">
        <f t="shared" ref="AS123:AS133" si="125">-13.95+5.15*(G123/(1.007975*2+15.999)*2+4.1*(Y123/(40.078+15.999))-(X123/(24.3055+15.999)))/AR123-((36475*((R123/(28.085+15.999*2))+(T123/(26.982*2+15.999*3))*2-(1.8*(V123/(55.845+15.999))))/AR123)-11088*E123*(((R123/(28.085+15.999))+(T123/(26.982*2+15.999*3))*2)/AR123-2/3))/(C123+273.15)</f>
        <v>-34.370200984297782</v>
      </c>
      <c r="AT123" s="4">
        <f t="shared" si="122"/>
        <v>1.1836174807991393E-15</v>
      </c>
      <c r="AU123" s="4">
        <f t="shared" si="123"/>
        <v>1.1836174807991393E-11</v>
      </c>
      <c r="AV123" s="3">
        <f t="shared" si="124"/>
        <v>-10.926788629386241</v>
      </c>
    </row>
    <row r="124" spans="1:48">
      <c r="A124" s="2" t="s">
        <v>520</v>
      </c>
      <c r="B124" s="2">
        <f t="shared" si="106"/>
        <v>1173.1500000000001</v>
      </c>
      <c r="C124" s="2">
        <v>900</v>
      </c>
      <c r="D124" s="3">
        <f t="shared" si="107"/>
        <v>8.5240591569705479</v>
      </c>
      <c r="E124" s="2">
        <v>1</v>
      </c>
      <c r="F124" s="2">
        <f>216*1000</f>
        <v>216000</v>
      </c>
      <c r="G124" s="2">
        <v>6.17</v>
      </c>
      <c r="J124" s="4">
        <f t="shared" si="108"/>
        <v>6.3499999999999998E-10</v>
      </c>
      <c r="K124" s="4">
        <v>6.3499999999999994E-14</v>
      </c>
      <c r="L124" s="3">
        <f t="shared" si="109"/>
        <v>-9.197226274708024</v>
      </c>
      <c r="R124" s="2">
        <v>76.77</v>
      </c>
      <c r="S124" s="2">
        <v>0.15</v>
      </c>
      <c r="T124" s="2">
        <v>13.32</v>
      </c>
      <c r="V124" s="2">
        <v>0.78</v>
      </c>
      <c r="W124" s="2">
        <v>0.08</v>
      </c>
      <c r="X124" s="2">
        <v>0.08</v>
      </c>
      <c r="Y124" s="2">
        <v>0.62</v>
      </c>
      <c r="Z124" s="2">
        <v>4.04</v>
      </c>
      <c r="AA124" s="2">
        <v>3.91</v>
      </c>
      <c r="AD124" s="2">
        <v>3.32</v>
      </c>
      <c r="AF124" s="2">
        <v>2.4700000000000002</v>
      </c>
      <c r="AG124" s="3">
        <f t="shared" si="110"/>
        <v>1.2777112043139602</v>
      </c>
      <c r="AH124" s="3">
        <f t="shared" si="111"/>
        <v>1.8781694108808615E-3</v>
      </c>
      <c r="AI124" s="3">
        <f t="shared" si="112"/>
        <v>0.26127637037690882</v>
      </c>
      <c r="AJ124" s="3">
        <f t="shared" si="113"/>
        <v>9.7691108230475872E-4</v>
      </c>
      <c r="AK124" s="3">
        <f t="shared" si="114"/>
        <v>9.7711708702188094E-3</v>
      </c>
      <c r="AL124" s="3">
        <f t="shared" si="115"/>
        <v>1.1277612529427522E-3</v>
      </c>
      <c r="AM124" s="3">
        <f t="shared" si="116"/>
        <v>1.9849146486701072E-3</v>
      </c>
      <c r="AN124" s="3">
        <f t="shared" si="117"/>
        <v>1.105622626032063E-2</v>
      </c>
      <c r="AO124" s="3">
        <f t="shared" si="118"/>
        <v>0.13036673712063765</v>
      </c>
      <c r="AP124" s="3">
        <f t="shared" si="119"/>
        <v>8.3019268538669796E-2</v>
      </c>
      <c r="AQ124" s="6">
        <f t="shared" si="120"/>
        <v>-6.4022728407634973E-4</v>
      </c>
      <c r="AR124" s="6">
        <f t="shared" si="121"/>
        <v>1.7791687338755144</v>
      </c>
      <c r="AS124" s="8">
        <f t="shared" si="125"/>
        <v>-34.056806015749871</v>
      </c>
      <c r="AT124" s="4">
        <f t="shared" si="122"/>
        <v>1.6192618206975649E-15</v>
      </c>
      <c r="AU124" s="4">
        <f t="shared" si="123"/>
        <v>1.619261820697565E-11</v>
      </c>
      <c r="AV124" s="3">
        <f t="shared" si="124"/>
        <v>-10.790682923889641</v>
      </c>
    </row>
    <row r="125" spans="1:48">
      <c r="A125" s="2" t="s">
        <v>521</v>
      </c>
      <c r="B125" s="2">
        <f t="shared" si="106"/>
        <v>1123.1500000000001</v>
      </c>
      <c r="C125" s="2">
        <v>850</v>
      </c>
      <c r="D125" s="3">
        <f t="shared" si="107"/>
        <v>8.9035302497440227</v>
      </c>
      <c r="E125" s="2">
        <v>1</v>
      </c>
      <c r="F125" s="2">
        <f>345.6*1000</f>
        <v>345600</v>
      </c>
      <c r="G125" s="2">
        <v>6.11</v>
      </c>
      <c r="J125" s="4"/>
      <c r="L125" s="3"/>
      <c r="R125" s="2">
        <v>76.77</v>
      </c>
      <c r="S125" s="2">
        <v>0.15</v>
      </c>
      <c r="T125" s="2">
        <v>13.32</v>
      </c>
      <c r="V125" s="2">
        <v>0.78</v>
      </c>
      <c r="W125" s="2">
        <v>0.08</v>
      </c>
      <c r="X125" s="2">
        <v>0.08</v>
      </c>
      <c r="Y125" s="2">
        <v>0.62</v>
      </c>
      <c r="Z125" s="2">
        <v>4.04</v>
      </c>
      <c r="AA125" s="2">
        <v>3.91</v>
      </c>
      <c r="AD125" s="2">
        <v>3.32</v>
      </c>
      <c r="AF125" s="2">
        <v>2.4700000000000002</v>
      </c>
      <c r="AG125" s="3">
        <f t="shared" si="110"/>
        <v>1.2777112043139602</v>
      </c>
      <c r="AH125" s="3">
        <f t="shared" si="111"/>
        <v>1.8781694108808615E-3</v>
      </c>
      <c r="AI125" s="3">
        <f t="shared" si="112"/>
        <v>0.26127637037690882</v>
      </c>
      <c r="AJ125" s="3">
        <f t="shared" si="113"/>
        <v>9.7691108230475872E-4</v>
      </c>
      <c r="AK125" s="3">
        <f t="shared" si="114"/>
        <v>9.7711708702188094E-3</v>
      </c>
      <c r="AL125" s="3">
        <f t="shared" si="115"/>
        <v>1.1277612529427522E-3</v>
      </c>
      <c r="AM125" s="3">
        <f t="shared" si="116"/>
        <v>1.9849146486701072E-3</v>
      </c>
      <c r="AN125" s="3">
        <f t="shared" si="117"/>
        <v>1.105622626032063E-2</v>
      </c>
      <c r="AO125" s="3">
        <f t="shared" si="118"/>
        <v>0.13036673712063765</v>
      </c>
      <c r="AP125" s="3">
        <f t="shared" si="119"/>
        <v>8.3019268538669796E-2</v>
      </c>
      <c r="AQ125" s="6">
        <f t="shared" si="120"/>
        <v>-6.4022728407634973E-4</v>
      </c>
      <c r="AR125" s="6">
        <f t="shared" si="121"/>
        <v>1.7791687338755144</v>
      </c>
      <c r="AS125" s="8">
        <f t="shared" si="125"/>
        <v>-35.065048986837468</v>
      </c>
      <c r="AT125" s="4">
        <f t="shared" si="122"/>
        <v>5.9080303459180856E-16</v>
      </c>
      <c r="AU125" s="4">
        <f t="shared" si="123"/>
        <v>5.9080303459180858E-12</v>
      </c>
      <c r="AV125" s="3">
        <f t="shared" si="124"/>
        <v>-11.228557282650723</v>
      </c>
    </row>
    <row r="126" spans="1:48">
      <c r="A126" s="2" t="s">
        <v>522</v>
      </c>
      <c r="B126" s="2">
        <f t="shared" si="106"/>
        <v>1208.1500000000001</v>
      </c>
      <c r="C126" s="2">
        <v>935</v>
      </c>
      <c r="D126" s="3">
        <f t="shared" si="107"/>
        <v>8.2771179075445929</v>
      </c>
      <c r="E126" s="2">
        <v>1</v>
      </c>
      <c r="F126" s="2">
        <f>86.4*1000</f>
        <v>86400</v>
      </c>
      <c r="G126" s="2">
        <v>6.21</v>
      </c>
      <c r="J126" s="4">
        <f t="shared" si="108"/>
        <v>8.09E-10</v>
      </c>
      <c r="K126" s="4">
        <v>8.0900000000000001E-14</v>
      </c>
      <c r="L126" s="3">
        <f t="shared" si="109"/>
        <v>-9.0920514783877273</v>
      </c>
      <c r="R126" s="2">
        <v>76.77</v>
      </c>
      <c r="S126" s="2">
        <v>0.15</v>
      </c>
      <c r="T126" s="2">
        <v>13.32</v>
      </c>
      <c r="V126" s="2">
        <v>0.78</v>
      </c>
      <c r="W126" s="2">
        <v>0.08</v>
      </c>
      <c r="X126" s="2">
        <v>0.08</v>
      </c>
      <c r="Y126" s="2">
        <v>0.62</v>
      </c>
      <c r="Z126" s="2">
        <v>4.04</v>
      </c>
      <c r="AA126" s="2">
        <v>3.91</v>
      </c>
      <c r="AD126" s="2">
        <v>3.32</v>
      </c>
      <c r="AF126" s="2">
        <v>2.4700000000000002</v>
      </c>
      <c r="AG126" s="3">
        <f t="shared" si="110"/>
        <v>1.2777112043139602</v>
      </c>
      <c r="AH126" s="3">
        <f t="shared" si="111"/>
        <v>1.8781694108808615E-3</v>
      </c>
      <c r="AI126" s="3">
        <f t="shared" si="112"/>
        <v>0.26127637037690882</v>
      </c>
      <c r="AJ126" s="3">
        <f t="shared" si="113"/>
        <v>9.7691108230475872E-4</v>
      </c>
      <c r="AK126" s="3">
        <f t="shared" si="114"/>
        <v>9.7711708702188094E-3</v>
      </c>
      <c r="AL126" s="3">
        <f t="shared" si="115"/>
        <v>1.1277612529427522E-3</v>
      </c>
      <c r="AM126" s="3">
        <f t="shared" si="116"/>
        <v>1.9849146486701072E-3</v>
      </c>
      <c r="AN126" s="3">
        <f t="shared" si="117"/>
        <v>1.105622626032063E-2</v>
      </c>
      <c r="AO126" s="3">
        <f t="shared" si="118"/>
        <v>0.13036673712063765</v>
      </c>
      <c r="AP126" s="3">
        <f t="shared" si="119"/>
        <v>8.3019268538669796E-2</v>
      </c>
      <c r="AQ126" s="6">
        <f t="shared" si="120"/>
        <v>-6.4022728407634973E-4</v>
      </c>
      <c r="AR126" s="6">
        <f t="shared" si="121"/>
        <v>1.7791687338755144</v>
      </c>
      <c r="AS126" s="8">
        <f t="shared" si="125"/>
        <v>-33.400383871128604</v>
      </c>
      <c r="AT126" s="4">
        <f t="shared" si="122"/>
        <v>3.1217461969895804E-15</v>
      </c>
      <c r="AU126" s="4">
        <f t="shared" si="123"/>
        <v>3.1217461969895801E-11</v>
      </c>
      <c r="AV126" s="3">
        <f t="shared" si="124"/>
        <v>-10.505602408681526</v>
      </c>
    </row>
    <row r="127" spans="1:48">
      <c r="A127" s="2" t="s">
        <v>523</v>
      </c>
      <c r="B127" s="2">
        <f t="shared" si="106"/>
        <v>1163.1500000000001</v>
      </c>
      <c r="C127" s="2">
        <v>890</v>
      </c>
      <c r="D127" s="3">
        <f t="shared" si="107"/>
        <v>8.5973434208829467</v>
      </c>
      <c r="E127" s="2">
        <v>1</v>
      </c>
      <c r="F127" s="2">
        <f>144*1000</f>
        <v>144000</v>
      </c>
      <c r="G127" s="2">
        <v>6.09</v>
      </c>
      <c r="J127" s="4">
        <f t="shared" si="108"/>
        <v>4.35E-10</v>
      </c>
      <c r="K127" s="4">
        <v>4.3499999999999998E-14</v>
      </c>
      <c r="L127" s="3">
        <f t="shared" si="109"/>
        <v>-9.361510743045363</v>
      </c>
      <c r="R127" s="2">
        <v>76.77</v>
      </c>
      <c r="S127" s="2">
        <v>0.15</v>
      </c>
      <c r="T127" s="2">
        <v>13.32</v>
      </c>
      <c r="V127" s="2">
        <v>0.78</v>
      </c>
      <c r="W127" s="2">
        <v>0.08</v>
      </c>
      <c r="X127" s="2">
        <v>0.08</v>
      </c>
      <c r="Y127" s="2">
        <v>0.62</v>
      </c>
      <c r="Z127" s="2">
        <v>4.04</v>
      </c>
      <c r="AA127" s="2">
        <v>3.91</v>
      </c>
      <c r="AD127" s="2">
        <v>3.32</v>
      </c>
      <c r="AF127" s="2">
        <v>2.4700000000000002</v>
      </c>
      <c r="AG127" s="3">
        <f t="shared" si="110"/>
        <v>1.2777112043139602</v>
      </c>
      <c r="AH127" s="3">
        <f t="shared" si="111"/>
        <v>1.8781694108808615E-3</v>
      </c>
      <c r="AI127" s="3">
        <f t="shared" si="112"/>
        <v>0.26127637037690882</v>
      </c>
      <c r="AJ127" s="3">
        <f t="shared" si="113"/>
        <v>9.7691108230475872E-4</v>
      </c>
      <c r="AK127" s="3">
        <f t="shared" si="114"/>
        <v>9.7711708702188094E-3</v>
      </c>
      <c r="AL127" s="3">
        <f t="shared" si="115"/>
        <v>1.1277612529427522E-3</v>
      </c>
      <c r="AM127" s="3">
        <f t="shared" si="116"/>
        <v>1.9849146486701072E-3</v>
      </c>
      <c r="AN127" s="3">
        <f t="shared" si="117"/>
        <v>1.105622626032063E-2</v>
      </c>
      <c r="AO127" s="3">
        <f t="shared" si="118"/>
        <v>0.13036673712063765</v>
      </c>
      <c r="AP127" s="3">
        <f t="shared" si="119"/>
        <v>8.3019268538669796E-2</v>
      </c>
      <c r="AQ127" s="6">
        <f t="shared" si="120"/>
        <v>-6.4022728407634973E-4</v>
      </c>
      <c r="AR127" s="6">
        <f t="shared" si="121"/>
        <v>1.7791687338755144</v>
      </c>
      <c r="AS127" s="8">
        <f t="shared" si="125"/>
        <v>-34.27350489490378</v>
      </c>
      <c r="AT127" s="4">
        <f t="shared" si="122"/>
        <v>1.3037849053410579E-15</v>
      </c>
      <c r="AU127" s="4">
        <f t="shared" si="123"/>
        <v>1.3037849053410579E-11</v>
      </c>
      <c r="AV127" s="3">
        <f t="shared" si="124"/>
        <v>-10.884794051340803</v>
      </c>
    </row>
    <row r="128" spans="1:48">
      <c r="A128" s="2" t="s">
        <v>524</v>
      </c>
      <c r="B128" s="2">
        <f t="shared" si="106"/>
        <v>1163.1500000000001</v>
      </c>
      <c r="C128" s="2">
        <v>890</v>
      </c>
      <c r="D128" s="3">
        <f t="shared" si="107"/>
        <v>8.5973434208829467</v>
      </c>
      <c r="E128" s="2">
        <v>1</v>
      </c>
      <c r="F128" s="2">
        <f>72*1000</f>
        <v>72000</v>
      </c>
      <c r="G128" s="2">
        <v>6.54</v>
      </c>
      <c r="J128" s="4">
        <f t="shared" si="108"/>
        <v>5.2900000000000003E-10</v>
      </c>
      <c r="K128" s="4">
        <v>5.2900000000000001E-14</v>
      </c>
      <c r="L128" s="3">
        <f t="shared" si="109"/>
        <v>-9.2765443279648139</v>
      </c>
      <c r="R128" s="2">
        <v>76.77</v>
      </c>
      <c r="S128" s="2">
        <v>0.15</v>
      </c>
      <c r="T128" s="2">
        <v>13.32</v>
      </c>
      <c r="V128" s="2">
        <v>0.78</v>
      </c>
      <c r="W128" s="2">
        <v>0.08</v>
      </c>
      <c r="X128" s="2">
        <v>0.08</v>
      </c>
      <c r="Y128" s="2">
        <v>0.62</v>
      </c>
      <c r="Z128" s="2">
        <v>4.04</v>
      </c>
      <c r="AA128" s="2">
        <v>3.91</v>
      </c>
      <c r="AD128" s="2">
        <v>3.32</v>
      </c>
      <c r="AF128" s="2">
        <v>2.4700000000000002</v>
      </c>
      <c r="AG128" s="3">
        <f t="shared" si="110"/>
        <v>1.2777112043139602</v>
      </c>
      <c r="AH128" s="3">
        <f t="shared" si="111"/>
        <v>1.8781694108808615E-3</v>
      </c>
      <c r="AI128" s="3">
        <f t="shared" si="112"/>
        <v>0.26127637037690882</v>
      </c>
      <c r="AJ128" s="3">
        <f t="shared" si="113"/>
        <v>9.7691108230475872E-4</v>
      </c>
      <c r="AK128" s="3">
        <f t="shared" si="114"/>
        <v>9.7711708702188094E-3</v>
      </c>
      <c r="AL128" s="3">
        <f t="shared" si="115"/>
        <v>1.1277612529427522E-3</v>
      </c>
      <c r="AM128" s="3">
        <f t="shared" si="116"/>
        <v>1.9849146486701072E-3</v>
      </c>
      <c r="AN128" s="3">
        <f t="shared" si="117"/>
        <v>1.105622626032063E-2</v>
      </c>
      <c r="AO128" s="3">
        <f t="shared" si="118"/>
        <v>0.13036673712063765</v>
      </c>
      <c r="AP128" s="3">
        <f t="shared" si="119"/>
        <v>8.3019268538669796E-2</v>
      </c>
      <c r="AQ128" s="6">
        <f t="shared" si="120"/>
        <v>-6.4022728407634973E-4</v>
      </c>
      <c r="AR128" s="6">
        <f t="shared" si="121"/>
        <v>1.7791687338755144</v>
      </c>
      <c r="AS128" s="8">
        <f t="shared" si="125"/>
        <v>-34.128894490883305</v>
      </c>
      <c r="AT128" s="4">
        <f t="shared" si="122"/>
        <v>1.5066398465080837E-15</v>
      </c>
      <c r="AU128" s="4">
        <f t="shared" si="123"/>
        <v>1.5066398465080837E-11</v>
      </c>
      <c r="AV128" s="3">
        <f t="shared" si="124"/>
        <v>-10.821990550848911</v>
      </c>
    </row>
    <row r="129" spans="1:48">
      <c r="A129" s="2" t="s">
        <v>525</v>
      </c>
      <c r="B129" s="2">
        <f t="shared" si="106"/>
        <v>1163.1500000000001</v>
      </c>
      <c r="C129" s="2">
        <v>890</v>
      </c>
      <c r="D129" s="3">
        <f t="shared" si="107"/>
        <v>8.5973434208829467</v>
      </c>
      <c r="E129" s="2">
        <v>1</v>
      </c>
      <c r="F129" s="2">
        <f>288*1000</f>
        <v>288000</v>
      </c>
      <c r="G129" s="2">
        <v>6.21</v>
      </c>
      <c r="J129" s="4">
        <f t="shared" si="108"/>
        <v>5.1299999999999999E-10</v>
      </c>
      <c r="K129" s="4">
        <v>5.13E-14</v>
      </c>
      <c r="L129" s="3">
        <f t="shared" si="109"/>
        <v>-9.2898826348881833</v>
      </c>
      <c r="R129" s="2">
        <v>76.77</v>
      </c>
      <c r="S129" s="2">
        <v>0.15</v>
      </c>
      <c r="T129" s="2">
        <v>13.32</v>
      </c>
      <c r="V129" s="2">
        <v>0.78</v>
      </c>
      <c r="W129" s="2">
        <v>0.08</v>
      </c>
      <c r="X129" s="2">
        <v>0.08</v>
      </c>
      <c r="Y129" s="2">
        <v>0.62</v>
      </c>
      <c r="Z129" s="2">
        <v>4.04</v>
      </c>
      <c r="AA129" s="2">
        <v>3.91</v>
      </c>
      <c r="AD129" s="2">
        <v>3.32</v>
      </c>
      <c r="AF129" s="2">
        <v>2.4700000000000002</v>
      </c>
      <c r="AG129" s="3">
        <f t="shared" si="110"/>
        <v>1.2777112043139602</v>
      </c>
      <c r="AH129" s="3">
        <f t="shared" si="111"/>
        <v>1.8781694108808615E-3</v>
      </c>
      <c r="AI129" s="3">
        <f t="shared" si="112"/>
        <v>0.26127637037690882</v>
      </c>
      <c r="AJ129" s="3">
        <f t="shared" si="113"/>
        <v>9.7691108230475872E-4</v>
      </c>
      <c r="AK129" s="3">
        <f t="shared" si="114"/>
        <v>9.7711708702188094E-3</v>
      </c>
      <c r="AL129" s="3">
        <f t="shared" si="115"/>
        <v>1.1277612529427522E-3</v>
      </c>
      <c r="AM129" s="3">
        <f t="shared" si="116"/>
        <v>1.9849146486701072E-3</v>
      </c>
      <c r="AN129" s="3">
        <f t="shared" si="117"/>
        <v>1.105622626032063E-2</v>
      </c>
      <c r="AO129" s="3">
        <f t="shared" si="118"/>
        <v>0.13036673712063765</v>
      </c>
      <c r="AP129" s="3">
        <f t="shared" si="119"/>
        <v>8.3019268538669796E-2</v>
      </c>
      <c r="AQ129" s="6">
        <f t="shared" si="120"/>
        <v>-6.4022728407634973E-4</v>
      </c>
      <c r="AR129" s="6">
        <f t="shared" si="121"/>
        <v>1.7791687338755144</v>
      </c>
      <c r="AS129" s="8">
        <f t="shared" si="125"/>
        <v>-34.234942120498317</v>
      </c>
      <c r="AT129" s="4">
        <f t="shared" si="122"/>
        <v>1.3550444719391359E-15</v>
      </c>
      <c r="AU129" s="4">
        <f t="shared" si="123"/>
        <v>1.3550444719391358E-11</v>
      </c>
      <c r="AV129" s="3">
        <f t="shared" si="124"/>
        <v>-10.868046451209631</v>
      </c>
    </row>
    <row r="130" spans="1:48">
      <c r="A130" s="2" t="s">
        <v>526</v>
      </c>
      <c r="B130" s="2">
        <f t="shared" si="106"/>
        <v>1323.15</v>
      </c>
      <c r="C130" s="2">
        <v>1050</v>
      </c>
      <c r="D130" s="3">
        <f t="shared" si="107"/>
        <v>7.5577221025582881</v>
      </c>
      <c r="E130" s="2">
        <v>1</v>
      </c>
      <c r="F130" s="2">
        <f>21*1000</f>
        <v>21000</v>
      </c>
      <c r="G130" s="2">
        <v>4.13</v>
      </c>
      <c r="J130" s="4">
        <f t="shared" si="108"/>
        <v>2.137E-9</v>
      </c>
      <c r="K130" s="4">
        <v>2.1369999999999999E-13</v>
      </c>
      <c r="L130" s="3">
        <f t="shared" si="109"/>
        <v>-8.6701954778359305</v>
      </c>
      <c r="R130" s="2">
        <v>76.77</v>
      </c>
      <c r="S130" s="2">
        <v>0.15</v>
      </c>
      <c r="T130" s="2">
        <v>13.32</v>
      </c>
      <c r="V130" s="2">
        <v>0.78</v>
      </c>
      <c r="W130" s="2">
        <v>0.08</v>
      </c>
      <c r="X130" s="2">
        <v>0.08</v>
      </c>
      <c r="Y130" s="2">
        <v>0.62</v>
      </c>
      <c r="Z130" s="2">
        <v>4.04</v>
      </c>
      <c r="AA130" s="2">
        <v>3.91</v>
      </c>
      <c r="AD130" s="2">
        <v>3.32</v>
      </c>
      <c r="AF130" s="2">
        <v>2.4700000000000002</v>
      </c>
      <c r="AG130" s="3">
        <f t="shared" si="110"/>
        <v>1.2777112043139602</v>
      </c>
      <c r="AH130" s="3">
        <f t="shared" si="111"/>
        <v>1.8781694108808615E-3</v>
      </c>
      <c r="AI130" s="3">
        <f t="shared" si="112"/>
        <v>0.26127637037690882</v>
      </c>
      <c r="AJ130" s="3">
        <f t="shared" si="113"/>
        <v>9.7691108230475872E-4</v>
      </c>
      <c r="AK130" s="3">
        <f t="shared" si="114"/>
        <v>9.7711708702188094E-3</v>
      </c>
      <c r="AL130" s="3">
        <f t="shared" si="115"/>
        <v>1.1277612529427522E-3</v>
      </c>
      <c r="AM130" s="3">
        <f t="shared" si="116"/>
        <v>1.9849146486701072E-3</v>
      </c>
      <c r="AN130" s="3">
        <f t="shared" si="117"/>
        <v>1.105622626032063E-2</v>
      </c>
      <c r="AO130" s="3">
        <f t="shared" si="118"/>
        <v>0.13036673712063765</v>
      </c>
      <c r="AP130" s="3">
        <f t="shared" si="119"/>
        <v>8.3019268538669796E-2</v>
      </c>
      <c r="AQ130" s="6">
        <f t="shared" si="120"/>
        <v>-6.4022728407634973E-4</v>
      </c>
      <c r="AR130" s="6">
        <f t="shared" si="121"/>
        <v>1.7791687338755144</v>
      </c>
      <c r="AS130" s="8">
        <f t="shared" si="125"/>
        <v>-32.193946238254576</v>
      </c>
      <c r="AT130" s="4">
        <f t="shared" si="122"/>
        <v>1.0431500856095695E-14</v>
      </c>
      <c r="AU130" s="4">
        <f t="shared" si="123"/>
        <v>1.0431500856095695E-10</v>
      </c>
      <c r="AV130" s="3">
        <f t="shared" si="124"/>
        <v>-9.9816532019639137</v>
      </c>
    </row>
    <row r="131" spans="1:48">
      <c r="A131" s="2" t="s">
        <v>527</v>
      </c>
      <c r="B131" s="2">
        <f t="shared" si="106"/>
        <v>1273.1500000000001</v>
      </c>
      <c r="C131" s="2">
        <v>1000</v>
      </c>
      <c r="D131" s="3">
        <f t="shared" si="107"/>
        <v>7.8545340297686836</v>
      </c>
      <c r="E131" s="2">
        <v>1</v>
      </c>
      <c r="F131" s="2">
        <f>22*1000</f>
        <v>22000</v>
      </c>
      <c r="G131" s="2">
        <v>4</v>
      </c>
      <c r="J131" s="4">
        <f t="shared" si="108"/>
        <v>1.086E-9</v>
      </c>
      <c r="K131" s="4">
        <v>1.086E-13</v>
      </c>
      <c r="L131" s="3">
        <f t="shared" si="109"/>
        <v>-8.9641701747471725</v>
      </c>
      <c r="R131" s="2">
        <v>76.77</v>
      </c>
      <c r="S131" s="2">
        <v>0.15</v>
      </c>
      <c r="T131" s="2">
        <v>13.32</v>
      </c>
      <c r="V131" s="2">
        <v>0.78</v>
      </c>
      <c r="W131" s="2">
        <v>0.08</v>
      </c>
      <c r="X131" s="2">
        <v>0.08</v>
      </c>
      <c r="Y131" s="2">
        <v>0.62</v>
      </c>
      <c r="Z131" s="2">
        <v>4.04</v>
      </c>
      <c r="AA131" s="2">
        <v>3.91</v>
      </c>
      <c r="AD131" s="2">
        <v>3.32</v>
      </c>
      <c r="AF131" s="2">
        <v>2.4700000000000002</v>
      </c>
      <c r="AG131" s="3">
        <f t="shared" si="110"/>
        <v>1.2777112043139602</v>
      </c>
      <c r="AH131" s="3">
        <f t="shared" si="111"/>
        <v>1.8781694108808615E-3</v>
      </c>
      <c r="AI131" s="3">
        <f t="shared" si="112"/>
        <v>0.26127637037690882</v>
      </c>
      <c r="AJ131" s="3">
        <f t="shared" si="113"/>
        <v>9.7691108230475872E-4</v>
      </c>
      <c r="AK131" s="3">
        <f t="shared" si="114"/>
        <v>9.7711708702188094E-3</v>
      </c>
      <c r="AL131" s="3">
        <f t="shared" si="115"/>
        <v>1.1277612529427522E-3</v>
      </c>
      <c r="AM131" s="3">
        <f t="shared" si="116"/>
        <v>1.9849146486701072E-3</v>
      </c>
      <c r="AN131" s="3">
        <f t="shared" si="117"/>
        <v>1.105622626032063E-2</v>
      </c>
      <c r="AO131" s="3">
        <f t="shared" si="118"/>
        <v>0.13036673712063765</v>
      </c>
      <c r="AP131" s="3">
        <f t="shared" si="119"/>
        <v>8.3019268538669796E-2</v>
      </c>
      <c r="AQ131" s="6">
        <f t="shared" si="120"/>
        <v>-6.4022728407634973E-4</v>
      </c>
      <c r="AR131" s="6">
        <f t="shared" si="121"/>
        <v>1.7791687338755144</v>
      </c>
      <c r="AS131" s="8">
        <f t="shared" si="125"/>
        <v>-33.00926132425495</v>
      </c>
      <c r="AT131" s="4">
        <f t="shared" si="122"/>
        <v>4.6159378757509587E-15</v>
      </c>
      <c r="AU131" s="4">
        <f t="shared" si="123"/>
        <v>4.6159378757509589E-11</v>
      </c>
      <c r="AV131" s="3">
        <f t="shared" si="124"/>
        <v>-10.335740044826352</v>
      </c>
    </row>
    <row r="132" spans="1:48">
      <c r="A132" s="2" t="s">
        <v>528</v>
      </c>
      <c r="B132" s="2">
        <f t="shared" si="106"/>
        <v>1233.1500000000001</v>
      </c>
      <c r="C132" s="2">
        <v>960</v>
      </c>
      <c r="D132" s="3">
        <f t="shared" si="107"/>
        <v>8.1093135466082789</v>
      </c>
      <c r="E132" s="2">
        <v>1</v>
      </c>
      <c r="F132" s="2">
        <f>86.4*1000</f>
        <v>86400</v>
      </c>
      <c r="G132" s="2">
        <v>4.24</v>
      </c>
      <c r="J132" s="4">
        <f t="shared" si="108"/>
        <v>7.3300000000000005E-10</v>
      </c>
      <c r="K132" s="4">
        <v>7.3300000000000001E-14</v>
      </c>
      <c r="L132" s="3">
        <f t="shared" si="109"/>
        <v>-9.1348960253588718</v>
      </c>
      <c r="R132" s="2">
        <v>76.77</v>
      </c>
      <c r="S132" s="2">
        <v>0.15</v>
      </c>
      <c r="T132" s="2">
        <v>13.32</v>
      </c>
      <c r="V132" s="2">
        <v>0.78</v>
      </c>
      <c r="W132" s="2">
        <v>0.08</v>
      </c>
      <c r="X132" s="2">
        <v>0.08</v>
      </c>
      <c r="Y132" s="2">
        <v>0.62</v>
      </c>
      <c r="Z132" s="2">
        <v>4.04</v>
      </c>
      <c r="AA132" s="2">
        <v>3.91</v>
      </c>
      <c r="AD132" s="2">
        <v>3.32</v>
      </c>
      <c r="AF132" s="2">
        <v>2.4700000000000002</v>
      </c>
      <c r="AG132" s="3">
        <f t="shared" si="110"/>
        <v>1.2777112043139602</v>
      </c>
      <c r="AH132" s="3">
        <f t="shared" si="111"/>
        <v>1.8781694108808615E-3</v>
      </c>
      <c r="AI132" s="3">
        <f t="shared" si="112"/>
        <v>0.26127637037690882</v>
      </c>
      <c r="AJ132" s="3">
        <f t="shared" si="113"/>
        <v>9.7691108230475872E-4</v>
      </c>
      <c r="AK132" s="3">
        <f t="shared" si="114"/>
        <v>9.7711708702188094E-3</v>
      </c>
      <c r="AL132" s="3">
        <f t="shared" si="115"/>
        <v>1.1277612529427522E-3</v>
      </c>
      <c r="AM132" s="3">
        <f t="shared" si="116"/>
        <v>1.9849146486701072E-3</v>
      </c>
      <c r="AN132" s="3">
        <f t="shared" si="117"/>
        <v>1.105622626032063E-2</v>
      </c>
      <c r="AO132" s="3">
        <f t="shared" si="118"/>
        <v>0.13036673712063765</v>
      </c>
      <c r="AP132" s="3">
        <f t="shared" si="119"/>
        <v>8.3019268538669796E-2</v>
      </c>
      <c r="AQ132" s="6">
        <f t="shared" si="120"/>
        <v>-6.4022728407634973E-4</v>
      </c>
      <c r="AR132" s="6">
        <f t="shared" si="121"/>
        <v>1.7791687338755144</v>
      </c>
      <c r="AS132" s="8">
        <f t="shared" si="125"/>
        <v>-33.596131424423589</v>
      </c>
      <c r="AT132" s="4">
        <f t="shared" si="122"/>
        <v>2.5667614561755811E-15</v>
      </c>
      <c r="AU132" s="4">
        <f t="shared" si="123"/>
        <v>2.5667614561755811E-11</v>
      </c>
      <c r="AV132" s="3">
        <f t="shared" si="124"/>
        <v>-10.590614490923601</v>
      </c>
    </row>
    <row r="133" spans="1:48">
      <c r="A133" s="2" t="s">
        <v>529</v>
      </c>
      <c r="B133" s="2">
        <f t="shared" si="106"/>
        <v>1523.15</v>
      </c>
      <c r="C133" s="2">
        <v>1250</v>
      </c>
      <c r="D133" s="3">
        <f t="shared" si="107"/>
        <v>6.5653415618947575</v>
      </c>
      <c r="E133" s="2">
        <v>1</v>
      </c>
      <c r="F133" s="2">
        <f>6840*1000</f>
        <v>6840000</v>
      </c>
      <c r="G133" s="2">
        <v>3.8</v>
      </c>
      <c r="J133" s="4">
        <f t="shared" si="108"/>
        <v>2.0356999999999998E-8</v>
      </c>
      <c r="K133" s="4">
        <v>2.0356999999999999E-12</v>
      </c>
      <c r="L133" s="3">
        <f t="shared" si="109"/>
        <v>-7.6912862233609962</v>
      </c>
      <c r="R133" s="2">
        <v>76.77</v>
      </c>
      <c r="S133" s="2">
        <v>0.15</v>
      </c>
      <c r="T133" s="2">
        <v>13.32</v>
      </c>
      <c r="V133" s="2">
        <v>0.78</v>
      </c>
      <c r="W133" s="2">
        <v>0.08</v>
      </c>
      <c r="X133" s="2">
        <v>0.08</v>
      </c>
      <c r="Y133" s="2">
        <v>0.62</v>
      </c>
      <c r="Z133" s="2">
        <v>4.04</v>
      </c>
      <c r="AA133" s="2">
        <v>3.91</v>
      </c>
      <c r="AD133" s="2">
        <v>3.32</v>
      </c>
      <c r="AF133" s="2">
        <v>2.4700000000000002</v>
      </c>
      <c r="AG133" s="3">
        <f t="shared" si="110"/>
        <v>1.2777112043139602</v>
      </c>
      <c r="AH133" s="3">
        <f t="shared" si="111"/>
        <v>1.8781694108808615E-3</v>
      </c>
      <c r="AI133" s="3">
        <f t="shared" si="112"/>
        <v>0.26127637037690882</v>
      </c>
      <c r="AJ133" s="3">
        <f t="shared" si="113"/>
        <v>9.7691108230475872E-4</v>
      </c>
      <c r="AK133" s="3">
        <f t="shared" si="114"/>
        <v>9.7711708702188094E-3</v>
      </c>
      <c r="AL133" s="3">
        <f t="shared" si="115"/>
        <v>1.1277612529427522E-3</v>
      </c>
      <c r="AM133" s="3">
        <f t="shared" si="116"/>
        <v>1.9849146486701072E-3</v>
      </c>
      <c r="AN133" s="3">
        <f t="shared" si="117"/>
        <v>1.105622626032063E-2</v>
      </c>
      <c r="AO133" s="3">
        <f t="shared" si="118"/>
        <v>0.13036673712063765</v>
      </c>
      <c r="AP133" s="3">
        <f t="shared" si="119"/>
        <v>8.3019268538669796E-2</v>
      </c>
      <c r="AQ133" s="6">
        <f t="shared" si="120"/>
        <v>-6.4022728407634973E-4</v>
      </c>
      <c r="AR133" s="6">
        <f t="shared" si="121"/>
        <v>1.7791687338755144</v>
      </c>
      <c r="AS133" s="8">
        <f t="shared" si="125"/>
        <v>-29.713693488206715</v>
      </c>
      <c r="AT133" s="4">
        <f t="shared" si="122"/>
        <v>1.2459679786483398E-13</v>
      </c>
      <c r="AU133" s="4">
        <f t="shared" si="123"/>
        <v>1.2459679786483398E-9</v>
      </c>
      <c r="AV133" s="3">
        <f t="shared" si="124"/>
        <v>-8.9044931188927627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8:C49"/>
  <sheetViews>
    <sheetView tabSelected="1" topLeftCell="A33" workbookViewId="0">
      <selection activeCell="C50" sqref="C50"/>
    </sheetView>
  </sheetViews>
  <sheetFormatPr defaultRowHeight="15"/>
  <cols>
    <col min="1" max="256" width="11.42578125" customWidth="1"/>
  </cols>
  <sheetData>
    <row r="48" spans="2:3">
      <c r="B48" s="9" t="s">
        <v>0</v>
      </c>
      <c r="C48" s="9"/>
    </row>
    <row r="49" spans="2:3">
      <c r="B49" s="9" t="s">
        <v>1</v>
      </c>
      <c r="C49" s="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Microsoft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Anastassia</dc:creator>
  <cp:keywords/>
  <dc:description/>
  <cp:lastModifiedBy>Christine Elrod</cp:lastModifiedBy>
  <cp:revision/>
  <dcterms:created xsi:type="dcterms:W3CDTF">2018-09-10T13:03:04Z</dcterms:created>
  <dcterms:modified xsi:type="dcterms:W3CDTF">2020-08-12T18:50:48Z</dcterms:modified>
  <cp:category/>
  <cp:contentStatus/>
</cp:coreProperties>
</file>