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4060" yWindow="80" windowWidth="26520" windowHeight="18600" tabRatio="500" activeTab="0"/>
  </bookViews>
  <sheets>
    <sheet name="Instructions" sheetId="1" r:id="rId1"/>
    <sheet name="Opx-liquid Input &amp; Models" sheetId="2" r:id="rId2"/>
    <sheet name="Rhodes Diagram" sheetId="3" r:id="rId3"/>
    <sheet name="Rhodes Diagram Calcs" sheetId="4" r:id="rId4"/>
  </sheets>
  <definedNames/>
  <calcPr fullCalcOnLoad="1"/>
</workbook>
</file>

<file path=xl/sharedStrings.xml><?xml version="1.0" encoding="utf-8"?>
<sst xmlns="http://schemas.openxmlformats.org/spreadsheetml/2006/main" count="253" uniqueCount="144">
  <si>
    <t>K</t>
  </si>
  <si>
    <t>Ni</t>
  </si>
  <si>
    <t>Cr</t>
  </si>
  <si>
    <t>Thermometers</t>
  </si>
  <si>
    <t>Putirka (2008) RiMG</t>
  </si>
  <si>
    <t>Eqn 29c</t>
  </si>
  <si>
    <t>LEPR</t>
  </si>
  <si>
    <t>Orthopyroxene Compositions - in Weight Percent</t>
  </si>
  <si>
    <t>Eqn. 28a</t>
  </si>
  <si>
    <t>Comp</t>
  </si>
  <si>
    <t>Sum</t>
  </si>
  <si>
    <t>Eqn. 28b</t>
  </si>
  <si>
    <t>Eqn 29a</t>
  </si>
  <si>
    <t>Eqn 29b</t>
  </si>
  <si>
    <t>Barometers (use 28a as input for T)</t>
  </si>
  <si>
    <t>2) OUTPUT  thermometer results are in BLUE columns, AJ - AP</t>
  </si>
  <si>
    <t xml:space="preserve"> TiO2</t>
  </si>
  <si>
    <t>NiO</t>
  </si>
  <si>
    <t>P2O5</t>
  </si>
  <si>
    <t>Gray field = input</t>
  </si>
  <si>
    <t>Blue field = output</t>
  </si>
  <si>
    <t>Geothermometers &amp; barometers based on orthopyroxene-liquid equilibria</t>
  </si>
  <si>
    <t>Experimental Compositions given  as examples</t>
  </si>
  <si>
    <t>Data Source</t>
  </si>
  <si>
    <t>Experiment #</t>
  </si>
  <si>
    <t>Enter</t>
  </si>
  <si>
    <t>Leave Blank</t>
  </si>
  <si>
    <t>Experimental Conditions</t>
  </si>
  <si>
    <t>B399</t>
  </si>
  <si>
    <t>B392</t>
  </si>
  <si>
    <t>G-6b</t>
  </si>
  <si>
    <t>Gardner, J.E., Rutherford, M., Carey, S., Sigurdsson, H. (1995)</t>
  </si>
  <si>
    <t>G-6a</t>
  </si>
  <si>
    <t>Wagner, T.P., Grove, T.L. (1998)</t>
  </si>
  <si>
    <t>Walter, M.J. (1998)</t>
  </si>
  <si>
    <t>Kogiso, T., Hirose, K., Takahashi (1998)</t>
  </si>
  <si>
    <t>KH-43</t>
  </si>
  <si>
    <t>KH-31</t>
  </si>
  <si>
    <t>KH-39</t>
  </si>
  <si>
    <t>B-44</t>
  </si>
  <si>
    <t>Elkins, L.T., Fernandes, V.A., Delano, J.W., Grove, T.L. (2000)</t>
  </si>
  <si>
    <t>Fe</t>
  </si>
  <si>
    <t>Gaetani, G.A., Grove, T.L. (1998)</t>
  </si>
  <si>
    <t>CATION PROPORTIONS</t>
  </si>
  <si>
    <t>CATION fractions</t>
  </si>
  <si>
    <t>MOLE  PROPORTIONS</t>
  </si>
  <si>
    <t>Numbers of oxygens</t>
  </si>
  <si>
    <t>CATIONS ON BASIS OF 6 OXYGENS</t>
  </si>
  <si>
    <t>opx only</t>
  </si>
  <si>
    <t>LIQUID COMPOSITIONS</t>
  </si>
  <si>
    <t>molar</t>
  </si>
  <si>
    <t>OPX COMPOSITIONS</t>
  </si>
  <si>
    <t>TOTAL</t>
  </si>
  <si>
    <t>OPX COMPONENTS</t>
  </si>
  <si>
    <t>Beattie (1993) thermometer</t>
  </si>
  <si>
    <t>calcualted</t>
  </si>
  <si>
    <t>Beattie (1993)</t>
  </si>
  <si>
    <t xml:space="preserve">Measured </t>
  </si>
  <si>
    <t>New Barometer</t>
  </si>
  <si>
    <t>barometer</t>
  </si>
  <si>
    <t>OPX</t>
  </si>
  <si>
    <t>Index</t>
  </si>
  <si>
    <t>T (C)</t>
  </si>
  <si>
    <t>P(kbar)</t>
  </si>
  <si>
    <t>P (GPa)</t>
  </si>
  <si>
    <t>Fe/Mg opx</t>
  </si>
  <si>
    <t>Fe/Mg liq</t>
  </si>
  <si>
    <t>KD(Fe-Mg)</t>
  </si>
  <si>
    <t>NIO</t>
  </si>
  <si>
    <t>total</t>
  </si>
  <si>
    <t>En(=Mg/all cat)</t>
  </si>
  <si>
    <t>Si+Ti</t>
  </si>
  <si>
    <t>AL(IV)</t>
  </si>
  <si>
    <t>AL(VI)</t>
  </si>
  <si>
    <t>CATIONS</t>
  </si>
  <si>
    <t>NaAlSi2O6</t>
  </si>
  <si>
    <t>FmTiAlSiO6</t>
  </si>
  <si>
    <t>CrAl2SiO6</t>
  </si>
  <si>
    <t>FmAl2SiO6</t>
  </si>
  <si>
    <t>CaFmSi2O6</t>
  </si>
  <si>
    <t>Fm2Si2O6</t>
  </si>
  <si>
    <t>ln(Fm2Si2O6-liq)</t>
  </si>
  <si>
    <t>Value for P(GPa)</t>
  </si>
  <si>
    <t>P(GPa)</t>
  </si>
  <si>
    <t>Equilibrium</t>
  </si>
  <si>
    <t>Test for</t>
  </si>
  <si>
    <t>100*Mg# liq</t>
  </si>
  <si>
    <t>100*Mg# opx</t>
  </si>
  <si>
    <t>Select Value for KD(Fe-Mg)ol-liq</t>
  </si>
  <si>
    <t>Select Value for error bounds</t>
  </si>
  <si>
    <t>Equilibrium minus 1 sigma</t>
  </si>
  <si>
    <t>Equilibrium plus 1 sigma</t>
  </si>
  <si>
    <t>100 X</t>
  </si>
  <si>
    <t>Mg/Fe-ol</t>
  </si>
  <si>
    <t>Mg/Fe-liq</t>
  </si>
  <si>
    <t>Mg#liq - 0.3</t>
  </si>
  <si>
    <t>Mg#ol - 0.3</t>
  </si>
  <si>
    <t>The Rhodes Diagram - Test for Opx-liq Equilibrium</t>
  </si>
  <si>
    <t>ln(FmAl2SiO6-liq)</t>
  </si>
  <si>
    <t>Cl-SiO2</t>
  </si>
  <si>
    <t>Cl-NM</t>
  </si>
  <si>
    <t>NF</t>
  </si>
  <si>
    <t>D(Mg)opx-li1</t>
  </si>
  <si>
    <t>numerator</t>
  </si>
  <si>
    <t>denominator</t>
  </si>
  <si>
    <t>T(K )</t>
  </si>
  <si>
    <t>T(C )</t>
  </si>
  <si>
    <t>Mg# liq</t>
  </si>
  <si>
    <t>sat T(C )</t>
  </si>
  <si>
    <t>Auwera, J. V., and Longhi, J. (1994)</t>
  </si>
  <si>
    <t>TJ-20</t>
  </si>
  <si>
    <t>TJ-3</t>
  </si>
  <si>
    <t>TJ-9</t>
  </si>
  <si>
    <t>1) INPUT required in GRAY columns (C, G - S, and V - AG)</t>
  </si>
  <si>
    <t>Enter Liquid Composition Here</t>
  </si>
  <si>
    <t>Liquid (Glass) Composition - in Weight Percent</t>
  </si>
  <si>
    <t>SiO2</t>
  </si>
  <si>
    <t>TiO2</t>
  </si>
  <si>
    <t>Al2O3</t>
  </si>
  <si>
    <t>FeOt</t>
  </si>
  <si>
    <t>MnO</t>
  </si>
  <si>
    <t>MgO</t>
  </si>
  <si>
    <t>CaO</t>
  </si>
  <si>
    <t>Na2O</t>
  </si>
  <si>
    <t>K2O</t>
  </si>
  <si>
    <t>Cr2O3</t>
  </si>
  <si>
    <t>H2O</t>
  </si>
  <si>
    <t>Total</t>
  </si>
  <si>
    <t>Anhydrous</t>
  </si>
  <si>
    <t>Enter Orthopyroxene Composition Here</t>
  </si>
  <si>
    <t>Or use a barometer</t>
  </si>
  <si>
    <t>AlO3/2</t>
  </si>
  <si>
    <t>FeO</t>
  </si>
  <si>
    <t>NaO0.5</t>
  </si>
  <si>
    <t>KO0.5</t>
  </si>
  <si>
    <t>CrO3/2</t>
  </si>
  <si>
    <t>PO5/2</t>
  </si>
  <si>
    <t>Si</t>
  </si>
  <si>
    <t>Ti</t>
  </si>
  <si>
    <t>Al</t>
  </si>
  <si>
    <t>Mn</t>
  </si>
  <si>
    <t>Mg</t>
  </si>
  <si>
    <t>Ca</t>
  </si>
  <si>
    <t>Na</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</si>
</sst>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_);[Red]\(&quot;$&quot;#,##0.0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0.0000000"/>
    <numFmt numFmtId="170" formatCode="0.0000"/>
    <numFmt numFmtId="171" formatCode="0.0"/>
    <numFmt numFmtId="172" formatCode="0.000"/>
    <numFmt numFmtId="173" formatCode="General"/>
  </numFmts>
  <fonts count="22">
    <font>
      <sz val="10"/>
      <name val="Verdana"/>
      <family val="0"/>
    </font>
    <font>
      <b/>
      <sz val="10"/>
      <name val="Verdana"/>
      <family val="0"/>
    </font>
    <font>
      <i/>
      <sz val="10"/>
      <name val="Verdana"/>
      <family val="0"/>
    </font>
    <font>
      <b/>
      <i/>
      <sz val="10"/>
      <name val="Verdana"/>
      <family val="0"/>
    </font>
    <font>
      <sz val="8"/>
      <name val="Verdana"/>
      <family val="0"/>
    </font>
    <font>
      <u val="single"/>
      <sz val="10"/>
      <color indexed="12"/>
      <name val="Verdana"/>
      <family val="0"/>
    </font>
    <font>
      <u val="single"/>
      <sz val="10"/>
      <color indexed="61"/>
      <name val="Verdana"/>
      <family val="0"/>
    </font>
    <font>
      <b/>
      <sz val="18"/>
      <color indexed="8"/>
      <name val="Verdana"/>
      <family val="0"/>
    </font>
    <font>
      <sz val="10"/>
      <color indexed="8"/>
      <name val="Verdana"/>
      <family val="0"/>
    </font>
    <font>
      <sz val="18"/>
      <color indexed="8"/>
      <name val="Verdana"/>
      <family val="0"/>
    </font>
    <font>
      <sz val="14"/>
      <color indexed="8"/>
      <name val="Verdana"/>
      <family val="0"/>
    </font>
    <font>
      <b/>
      <sz val="10"/>
      <color indexed="8"/>
      <name val="Verdana"/>
      <family val="0"/>
    </font>
    <font>
      <b/>
      <sz val="14"/>
      <name val="Verdana"/>
      <family val="0"/>
    </font>
    <font>
      <b/>
      <sz val="18"/>
      <name val="Geneva"/>
      <family val="0"/>
    </font>
    <font>
      <sz val="14"/>
      <name val="Verdana"/>
      <family val="0"/>
    </font>
    <font>
      <b/>
      <sz val="12"/>
      <name val="Verdana"/>
      <family val="0"/>
    </font>
    <font>
      <sz val="8"/>
      <color indexed="8"/>
      <name val="Verdana"/>
      <family val="0"/>
    </font>
    <font>
      <sz val="11"/>
      <color indexed="8"/>
      <name val="Verdana"/>
      <family val="0"/>
    </font>
    <font>
      <b/>
      <sz val="16"/>
      <color indexed="8"/>
      <name val="Calibri"/>
      <family val="0"/>
    </font>
    <font>
      <sz val="11"/>
      <color indexed="8"/>
      <name val="Calibri"/>
      <family val="0"/>
    </font>
    <font>
      <sz val="12"/>
      <color indexed="8"/>
      <name val="Calibri"/>
      <family val="0"/>
    </font>
    <font>
      <u val="single"/>
      <sz val="12"/>
      <color indexed="8"/>
      <name val="Calibri"/>
      <family val="0"/>
    </font>
  </fonts>
  <fills count="4">
    <fill>
      <patternFill/>
    </fill>
    <fill>
      <patternFill patternType="gray125"/>
    </fill>
    <fill>
      <patternFill patternType="solid">
        <fgColor indexed="22"/>
        <bgColor indexed="64"/>
      </patternFill>
    </fill>
    <fill>
      <patternFill patternType="solid">
        <fgColor indexed="44"/>
        <bgColor indexed="64"/>
      </patternFill>
    </fill>
  </fills>
  <borders count="15">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medium"/>
      <right style="medium"/>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84">
    <xf numFmtId="0" fontId="0" fillId="0" borderId="0" xfId="0" applyAlignment="1">
      <alignment/>
    </xf>
    <xf numFmtId="0" fontId="0" fillId="0" borderId="0" xfId="0" applyFill="1" applyAlignment="1">
      <alignment/>
    </xf>
    <xf numFmtId="169" fontId="0" fillId="0" borderId="0" xfId="0" applyNumberFormat="1" applyFill="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Alignment="1">
      <alignment/>
    </xf>
    <xf numFmtId="169" fontId="0" fillId="0" borderId="0" xfId="0" applyNumberFormat="1" applyFont="1" applyFill="1" applyAlignment="1">
      <alignment/>
    </xf>
    <xf numFmtId="0" fontId="8" fillId="0" borderId="0" xfId="0" applyFont="1" applyFill="1" applyAlignment="1">
      <alignment horizontal="left"/>
    </xf>
    <xf numFmtId="0" fontId="11" fillId="0" borderId="0" xfId="0" applyFont="1" applyAlignment="1">
      <alignment/>
    </xf>
    <xf numFmtId="0" fontId="11" fillId="0" borderId="0" xfId="0" applyFont="1" applyAlignment="1">
      <alignment horizontal="left"/>
    </xf>
    <xf numFmtId="0" fontId="8" fillId="0" borderId="1" xfId="0" applyFont="1" applyFill="1" applyBorder="1" applyAlignment="1">
      <alignment horizontal="center"/>
    </xf>
    <xf numFmtId="0" fontId="8" fillId="0" borderId="2" xfId="0" applyFont="1" applyFill="1" applyBorder="1" applyAlignment="1">
      <alignment horizontal="center"/>
    </xf>
    <xf numFmtId="0" fontId="8" fillId="0" borderId="3" xfId="0" applyFont="1" applyFill="1" applyBorder="1" applyAlignment="1">
      <alignment horizontal="center"/>
    </xf>
    <xf numFmtId="0" fontId="8" fillId="0" borderId="4" xfId="0" applyFont="1" applyFill="1" applyBorder="1" applyAlignment="1">
      <alignment horizontal="center"/>
    </xf>
    <xf numFmtId="0" fontId="8" fillId="0" borderId="5" xfId="0" applyFont="1" applyFill="1" applyBorder="1" applyAlignment="1">
      <alignment horizontal="center"/>
    </xf>
    <xf numFmtId="0" fontId="8" fillId="0" borderId="6" xfId="0" applyFont="1" applyFill="1" applyBorder="1" applyAlignment="1">
      <alignment horizontal="center"/>
    </xf>
    <xf numFmtId="0" fontId="11" fillId="0" borderId="0" xfId="0" applyFont="1" applyAlignment="1">
      <alignment horizontal="center"/>
    </xf>
    <xf numFmtId="0" fontId="11" fillId="2" borderId="7" xfId="0" applyFont="1" applyFill="1" applyBorder="1" applyAlignment="1">
      <alignment horizontal="center"/>
    </xf>
    <xf numFmtId="0" fontId="8" fillId="0" borderId="8" xfId="0" applyFont="1" applyFill="1" applyBorder="1" applyAlignment="1">
      <alignment/>
    </xf>
    <xf numFmtId="0" fontId="8" fillId="0" borderId="9" xfId="0" applyFont="1" applyFill="1" applyBorder="1" applyAlignment="1">
      <alignment/>
    </xf>
    <xf numFmtId="0" fontId="8" fillId="0" borderId="8" xfId="0" applyFont="1" applyFill="1" applyBorder="1" applyAlignment="1">
      <alignment horizontal="center"/>
    </xf>
    <xf numFmtId="0" fontId="8" fillId="0" borderId="9" xfId="0" applyFont="1" applyFill="1" applyBorder="1" applyAlignment="1">
      <alignment horizontal="center"/>
    </xf>
    <xf numFmtId="169" fontId="0" fillId="0" borderId="0" xfId="0" applyNumberFormat="1" applyFont="1" applyFill="1" applyAlignment="1">
      <alignment/>
    </xf>
    <xf numFmtId="0" fontId="0" fillId="0" borderId="0" xfId="0" applyFont="1" applyFill="1" applyAlignment="1">
      <alignment horizontal="center"/>
    </xf>
    <xf numFmtId="0" fontId="0" fillId="0" borderId="0" xfId="0" applyFont="1" applyFill="1" applyAlignment="1">
      <alignment horizontal="left"/>
    </xf>
    <xf numFmtId="0" fontId="0" fillId="0" borderId="0" xfId="0" applyFont="1" applyFill="1" applyAlignment="1">
      <alignment/>
    </xf>
    <xf numFmtId="0" fontId="0" fillId="2" borderId="0" xfId="0" applyFont="1" applyFill="1" applyAlignment="1">
      <alignment horizontal="center"/>
    </xf>
    <xf numFmtId="170" fontId="0" fillId="0" borderId="0" xfId="0" applyNumberFormat="1" applyFont="1" applyFill="1" applyAlignment="1">
      <alignment/>
    </xf>
    <xf numFmtId="0" fontId="11" fillId="2" borderId="0" xfId="0" applyFont="1" applyFill="1" applyAlignment="1">
      <alignment horizontal="left"/>
    </xf>
    <xf numFmtId="0" fontId="8" fillId="2" borderId="0" xfId="0" applyFont="1" applyFill="1" applyAlignment="1">
      <alignment/>
    </xf>
    <xf numFmtId="0" fontId="8" fillId="2" borderId="0" xfId="0" applyFont="1" applyFill="1" applyAlignment="1">
      <alignment horizontal="center"/>
    </xf>
    <xf numFmtId="0" fontId="8" fillId="0" borderId="0" xfId="0" applyFont="1" applyFill="1" applyAlignment="1">
      <alignment/>
    </xf>
    <xf numFmtId="0" fontId="11" fillId="0" borderId="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horizontal="left"/>
    </xf>
    <xf numFmtId="0" fontId="0" fillId="3" borderId="0" xfId="0" applyFont="1" applyFill="1" applyAlignment="1">
      <alignment/>
    </xf>
    <xf numFmtId="171" fontId="0" fillId="3" borderId="0" xfId="0" applyNumberFormat="1" applyFont="1" applyFill="1" applyAlignment="1">
      <alignment horizontal="center"/>
    </xf>
    <xf numFmtId="170" fontId="0" fillId="3" borderId="0" xfId="0" applyNumberFormat="1" applyFont="1" applyFill="1" applyAlignment="1">
      <alignment/>
    </xf>
    <xf numFmtId="0" fontId="0" fillId="0" borderId="1" xfId="0" applyFont="1" applyFill="1" applyBorder="1" applyAlignment="1">
      <alignment/>
    </xf>
    <xf numFmtId="0" fontId="0" fillId="0" borderId="10" xfId="0" applyFont="1" applyFill="1" applyBorder="1" applyAlignment="1">
      <alignment/>
    </xf>
    <xf numFmtId="0" fontId="0" fillId="0" borderId="10" xfId="0" applyFont="1" applyBorder="1" applyAlignment="1">
      <alignment/>
    </xf>
    <xf numFmtId="0" fontId="0" fillId="0" borderId="2" xfId="0" applyFont="1" applyBorder="1" applyAlignment="1">
      <alignment/>
    </xf>
    <xf numFmtId="0" fontId="0" fillId="0" borderId="3" xfId="0" applyFont="1" applyFill="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4" xfId="0" applyFont="1" applyFill="1" applyBorder="1" applyAlignment="1">
      <alignment/>
    </xf>
    <xf numFmtId="0" fontId="0" fillId="0" borderId="5" xfId="0" applyFont="1" applyFill="1" applyBorder="1" applyAlignment="1">
      <alignment/>
    </xf>
    <xf numFmtId="0" fontId="0" fillId="0" borderId="7" xfId="0" applyFont="1" applyFill="1" applyBorder="1" applyAlignment="1">
      <alignment/>
    </xf>
    <xf numFmtId="0" fontId="0" fillId="0" borderId="6" xfId="0" applyFont="1" applyFill="1" applyBorder="1" applyAlignment="1">
      <alignment/>
    </xf>
    <xf numFmtId="0" fontId="0" fillId="0" borderId="2"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169" fontId="0" fillId="3" borderId="0" xfId="0" applyNumberFormat="1" applyFont="1" applyFill="1" applyAlignment="1">
      <alignment/>
    </xf>
    <xf numFmtId="0" fontId="12" fillId="3" borderId="0" xfId="0" applyFont="1" applyFill="1" applyAlignment="1">
      <alignment/>
    </xf>
    <xf numFmtId="0" fontId="0" fillId="3" borderId="0" xfId="0" applyFont="1" applyFill="1" applyAlignment="1">
      <alignment horizontal="center"/>
    </xf>
    <xf numFmtId="0" fontId="8" fillId="0" borderId="0" xfId="0" applyFont="1" applyFill="1" applyAlignment="1">
      <alignment horizontal="center"/>
    </xf>
    <xf numFmtId="0" fontId="0" fillId="3" borderId="0" xfId="0" applyFont="1" applyFill="1" applyAlignment="1">
      <alignment horizontal="center"/>
    </xf>
    <xf numFmtId="0" fontId="0" fillId="3" borderId="7" xfId="0" applyFont="1" applyFill="1" applyBorder="1" applyAlignment="1">
      <alignment horizontal="center"/>
    </xf>
    <xf numFmtId="0" fontId="10" fillId="0" borderId="13" xfId="0" applyFont="1" applyFill="1" applyBorder="1" applyAlignment="1">
      <alignment horizontal="left"/>
    </xf>
    <xf numFmtId="0" fontId="0" fillId="0" borderId="0" xfId="0" applyFont="1" applyFill="1" applyBorder="1" applyAlignment="1">
      <alignment horizontal="center"/>
    </xf>
    <xf numFmtId="171" fontId="0" fillId="0" borderId="0" xfId="0" applyNumberFormat="1" applyFont="1" applyFill="1" applyAlignment="1">
      <alignment horizontal="center"/>
    </xf>
    <xf numFmtId="172" fontId="0" fillId="0" borderId="0" xfId="0" applyNumberFormat="1" applyFill="1" applyAlignment="1">
      <alignment horizontal="center"/>
    </xf>
    <xf numFmtId="172" fontId="0" fillId="0" borderId="0" xfId="0" applyNumberFormat="1" applyFont="1" applyFill="1" applyAlignment="1">
      <alignment horizontal="center"/>
    </xf>
    <xf numFmtId="172" fontId="0" fillId="0" borderId="0" xfId="0" applyNumberFormat="1" applyFont="1" applyFill="1" applyAlignment="1">
      <alignment horizontal="center"/>
    </xf>
    <xf numFmtId="172" fontId="12" fillId="3" borderId="0" xfId="0" applyNumberFormat="1" applyFont="1" applyFill="1" applyAlignment="1">
      <alignment horizontal="center"/>
    </xf>
    <xf numFmtId="172" fontId="0" fillId="3" borderId="0" xfId="0" applyNumberFormat="1" applyFont="1" applyFill="1" applyAlignment="1">
      <alignment horizontal="center"/>
    </xf>
    <xf numFmtId="172" fontId="0" fillId="3" borderId="7" xfId="0" applyNumberFormat="1" applyFont="1" applyFill="1" applyBorder="1" applyAlignment="1">
      <alignment horizontal="center"/>
    </xf>
    <xf numFmtId="172" fontId="0" fillId="3" borderId="0" xfId="0" applyNumberFormat="1" applyFont="1" applyFill="1" applyAlignment="1">
      <alignment horizontal="center"/>
    </xf>
    <xf numFmtId="0" fontId="13" fillId="0" borderId="0" xfId="0" applyFont="1" applyAlignment="1">
      <alignment/>
    </xf>
    <xf numFmtId="0" fontId="12" fillId="0" borderId="1" xfId="0" applyFont="1" applyBorder="1" applyAlignment="1">
      <alignment/>
    </xf>
    <xf numFmtId="0" fontId="14" fillId="0" borderId="10" xfId="0" applyFont="1" applyBorder="1" applyAlignment="1">
      <alignment/>
    </xf>
    <xf numFmtId="0" fontId="14" fillId="0" borderId="2" xfId="0" applyFont="1" applyBorder="1" applyAlignment="1">
      <alignment/>
    </xf>
    <xf numFmtId="0" fontId="14" fillId="0" borderId="5" xfId="0" applyFont="1" applyBorder="1" applyAlignment="1">
      <alignment/>
    </xf>
    <xf numFmtId="0" fontId="12" fillId="0" borderId="14" xfId="0" applyFont="1" applyBorder="1" applyAlignment="1">
      <alignment/>
    </xf>
    <xf numFmtId="0" fontId="14" fillId="0" borderId="6" xfId="0" applyFont="1" applyBorder="1" applyAlignment="1">
      <alignment/>
    </xf>
    <xf numFmtId="0" fontId="14" fillId="0" borderId="0" xfId="0" applyFont="1" applyBorder="1" applyAlignment="1">
      <alignment/>
    </xf>
    <xf numFmtId="0" fontId="15" fillId="0" borderId="0" xfId="0" applyFont="1" applyAlignment="1">
      <alignment/>
    </xf>
    <xf numFmtId="0" fontId="12" fillId="0" borderId="5" xfId="0" applyFont="1" applyBorder="1" applyAlignment="1">
      <alignment/>
    </xf>
    <xf numFmtId="0" fontId="12" fillId="0" borderId="0" xfId="0" applyFont="1" applyAlignment="1">
      <alignment/>
    </xf>
    <xf numFmtId="0" fontId="0" fillId="0" borderId="10"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5"/>
          <c:y val="0.01725"/>
          <c:w val="0.9175"/>
          <c:h val="0.911"/>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a:solidFill>
                  <a:srgbClr val="000000"/>
                </a:solidFill>
              </a:ln>
            </c:spPr>
          </c:marker>
          <c:xVal>
            <c:numRef>
              <c:f>'Opx-liquid Input &amp; Models'!$AV$16:$AV$29</c:f>
              <c:numCache>
                <c:ptCount val="14"/>
                <c:pt idx="0">
                  <c:v>36.878073112517036</c:v>
                </c:pt>
                <c:pt idx="1">
                  <c:v>30.41167372285753</c:v>
                </c:pt>
                <c:pt idx="2">
                  <c:v>36.32686595462302</c:v>
                </c:pt>
                <c:pt idx="3">
                  <c:v>54.8590274397414</c:v>
                </c:pt>
                <c:pt idx="4">
                  <c:v>72.3534437358238</c:v>
                </c:pt>
                <c:pt idx="5">
                  <c:v>68.0762330793784</c:v>
                </c:pt>
                <c:pt idx="6">
                  <c:v>61.20012829223522</c:v>
                </c:pt>
                <c:pt idx="7">
                  <c:v>70.85098348627233</c:v>
                </c:pt>
                <c:pt idx="8">
                  <c:v>55.871360898855</c:v>
                </c:pt>
                <c:pt idx="9">
                  <c:v>78.57006959094687</c:v>
                </c:pt>
                <c:pt idx="10">
                  <c:v>74.52485550265962</c:v>
                </c:pt>
                <c:pt idx="11">
                  <c:v>70.25857695039713</c:v>
                </c:pt>
                <c:pt idx="12">
                  <c:v>17.70732480152094</c:v>
                </c:pt>
                <c:pt idx="13">
                  <c:v>17.45960113168903</c:v>
                </c:pt>
              </c:numCache>
            </c:numRef>
          </c:xVal>
          <c:yVal>
            <c:numRef>
              <c:f>'Opx-liquid Input &amp; Models'!$AW$16:$AW$29</c:f>
              <c:numCache>
                <c:ptCount val="14"/>
                <c:pt idx="0">
                  <c:v>67.83305010556671</c:v>
                </c:pt>
                <c:pt idx="1">
                  <c:v>67.13439747556504</c:v>
                </c:pt>
                <c:pt idx="2">
                  <c:v>67.12185739799422</c:v>
                </c:pt>
                <c:pt idx="3">
                  <c:v>79.18255193930253</c:v>
                </c:pt>
                <c:pt idx="4">
                  <c:v>88.84151294298401</c:v>
                </c:pt>
                <c:pt idx="5">
                  <c:v>87.31891292926085</c:v>
                </c:pt>
                <c:pt idx="6">
                  <c:v>84.06110259242887</c:v>
                </c:pt>
                <c:pt idx="7">
                  <c:v>87.73598989435001</c:v>
                </c:pt>
                <c:pt idx="8">
                  <c:v>79.67225825815811</c:v>
                </c:pt>
                <c:pt idx="9">
                  <c:v>91.70006389383867</c:v>
                </c:pt>
                <c:pt idx="10">
                  <c:v>90.19618392213461</c:v>
                </c:pt>
                <c:pt idx="11">
                  <c:v>87.63172998740494</c:v>
                </c:pt>
                <c:pt idx="12">
                  <c:v>56.590697463290276</c:v>
                </c:pt>
                <c:pt idx="13">
                  <c:v>56.251275968562986</c:v>
                </c:pt>
              </c:numCache>
            </c:numRef>
          </c:y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'Rhodes Diagram Calcs'!$C$10:$C$41</c:f>
              <c:numCache>
                <c:ptCount val="32"/>
                <c:pt idx="0">
                  <c:v>0</c:v>
                </c:pt>
                <c:pt idx="1">
                  <c:v>2.818270165208941</c:v>
                </c:pt>
                <c:pt idx="2">
                  <c:v>5.482041587901701</c:v>
                </c:pt>
                <c:pt idx="3">
                  <c:v>8.003679852805888</c:v>
                </c:pt>
                <c:pt idx="4">
                  <c:v>10.39426523297491</c:v>
                </c:pt>
                <c:pt idx="5">
                  <c:v>12.663755458515283</c:v>
                </c:pt>
                <c:pt idx="6">
                  <c:v>14.821124361158432</c:v>
                </c:pt>
                <c:pt idx="7">
                  <c:v>16.874480465502906</c:v>
                </c:pt>
                <c:pt idx="8">
                  <c:v>18.83116883116883</c:v>
                </c:pt>
                <c:pt idx="9">
                  <c:v>20.697858842188737</c:v>
                </c:pt>
                <c:pt idx="10">
                  <c:v>22.480620155038757</c:v>
                </c:pt>
                <c:pt idx="11">
                  <c:v>24.184988627748297</c:v>
                </c:pt>
                <c:pt idx="12">
                  <c:v>25.816023738872403</c:v>
                </c:pt>
                <c:pt idx="13">
                  <c:v>27.378358750907772</c:v>
                </c:pt>
                <c:pt idx="14">
                  <c:v>28.876244665718346</c:v>
                </c:pt>
                <c:pt idx="15">
                  <c:v>30.31358885017421</c:v>
                </c:pt>
                <c:pt idx="16">
                  <c:v>31.693989071038253</c:v>
                </c:pt>
                <c:pt idx="17">
                  <c:v>33.02076356329538</c:v>
                </c:pt>
                <c:pt idx="18">
                  <c:v>38.949938949938954</c:v>
                </c:pt>
                <c:pt idx="19">
                  <c:v>43.91475042063937</c:v>
                </c:pt>
                <c:pt idx="20">
                  <c:v>48.13278008298755</c:v>
                </c:pt>
                <c:pt idx="21">
                  <c:v>51.7607332368548</c:v>
                </c:pt>
                <c:pt idx="22">
                  <c:v>54.91433724075744</c:v>
                </c:pt>
                <c:pt idx="23">
                  <c:v>60.12759170653908</c:v>
                </c:pt>
                <c:pt idx="24">
                  <c:v>64.26018584703358</c:v>
                </c:pt>
                <c:pt idx="25">
                  <c:v>67.61658031088083</c:v>
                </c:pt>
                <c:pt idx="26">
                  <c:v>74.35897435897436</c:v>
                </c:pt>
                <c:pt idx="27">
                  <c:v>85.29411764705883</c:v>
                </c:pt>
                <c:pt idx="28">
                  <c:v>92.06349206349206</c:v>
                </c:pt>
                <c:pt idx="29">
                  <c:v>95.86776859504133</c:v>
                </c:pt>
                <c:pt idx="30">
                  <c:v>98.30508474576271</c:v>
                </c:pt>
                <c:pt idx="31">
                  <c:v>99.65635738831615</c:v>
                </c:pt>
              </c:numCache>
            </c:numRef>
          </c:xVal>
          <c:yVal>
            <c:numRef>
              <c:f>'Rhodes Diagram Calcs'!$D$10:$D$41</c:f>
              <c:numCache>
                <c:ptCount val="32"/>
                <c:pt idx="0">
                  <c:v>0</c:v>
                </c:pt>
                <c:pt idx="1">
                  <c:v>9.09090909090909</c:v>
                </c:pt>
                <c:pt idx="2">
                  <c:v>16.666666666666668</c:v>
                </c:pt>
                <c:pt idx="3">
                  <c:v>23.076923076923077</c:v>
                </c:pt>
                <c:pt idx="4">
                  <c:v>28.571428571428573</c:v>
                </c:pt>
                <c:pt idx="5">
                  <c:v>33.333333333333336</c:v>
                </c:pt>
                <c:pt idx="6">
                  <c:v>37.5</c:v>
                </c:pt>
                <c:pt idx="7">
                  <c:v>41.1764705882353</c:v>
                </c:pt>
                <c:pt idx="8">
                  <c:v>44.44444444444444</c:v>
                </c:pt>
                <c:pt idx="9">
                  <c:v>47.36842105263158</c:v>
                </c:pt>
                <c:pt idx="10">
                  <c:v>50</c:v>
                </c:pt>
                <c:pt idx="11">
                  <c:v>52.38095238095239</c:v>
                </c:pt>
                <c:pt idx="12">
                  <c:v>54.54545454545454</c:v>
                </c:pt>
                <c:pt idx="13">
                  <c:v>56.52173913043479</c:v>
                </c:pt>
                <c:pt idx="14">
                  <c:v>58.333333333333336</c:v>
                </c:pt>
                <c:pt idx="15">
                  <c:v>60</c:v>
                </c:pt>
                <c:pt idx="16">
                  <c:v>61.53846153846153</c:v>
                </c:pt>
                <c:pt idx="17">
                  <c:v>62.96296296296296</c:v>
                </c:pt>
                <c:pt idx="18">
                  <c:v>68.75</c:v>
                </c:pt>
                <c:pt idx="19">
                  <c:v>72.97297297297297</c:v>
                </c:pt>
                <c:pt idx="20">
                  <c:v>76.19047619047619</c:v>
                </c:pt>
                <c:pt idx="21">
                  <c:v>78.72340425531915</c:v>
                </c:pt>
                <c:pt idx="22">
                  <c:v>80.76923076923076</c:v>
                </c:pt>
                <c:pt idx="23">
                  <c:v>83.87096774193549</c:v>
                </c:pt>
                <c:pt idx="24">
                  <c:v>86.11111111111111</c:v>
                </c:pt>
                <c:pt idx="25">
                  <c:v>87.8048780487805</c:v>
                </c:pt>
                <c:pt idx="26">
                  <c:v>90.9090909090909</c:v>
                </c:pt>
                <c:pt idx="27">
                  <c:v>95.23809523809524</c:v>
                </c:pt>
                <c:pt idx="28">
                  <c:v>97.5609756097561</c:v>
                </c:pt>
                <c:pt idx="29">
                  <c:v>98.76543209876543</c:v>
                </c:pt>
                <c:pt idx="30">
                  <c:v>99.50248756218906</c:v>
                </c:pt>
                <c:pt idx="31">
                  <c:v>99.9000999000999</c:v>
                </c:pt>
              </c:numCache>
            </c:numRef>
          </c:yVal>
          <c:smooth val="0"/>
        </c:ser>
        <c:ser>
          <c:idx val="2"/>
          <c:order val="2"/>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'Rhodes Diagram Calcs'!$H$10:$H$41</c:f>
              <c:numCache>
                <c:ptCount val="32"/>
                <c:pt idx="0">
                  <c:v>0</c:v>
                </c:pt>
                <c:pt idx="1">
                  <c:v>2.248289345063539</c:v>
                </c:pt>
                <c:pt idx="2">
                  <c:v>4.3977055449330775</c:v>
                </c:pt>
                <c:pt idx="3">
                  <c:v>6.454630495790458</c:v>
                </c:pt>
                <c:pt idx="4">
                  <c:v>8.424908424908423</c:v>
                </c:pt>
                <c:pt idx="5">
                  <c:v>10.31390134529148</c:v>
                </c:pt>
                <c:pt idx="6">
                  <c:v>12.126537785588752</c:v>
                </c:pt>
                <c:pt idx="7">
                  <c:v>13.867355727820842</c:v>
                </c:pt>
                <c:pt idx="8">
                  <c:v>15.54054054054054</c:v>
                </c:pt>
                <c:pt idx="9">
                  <c:v>17.149958574979287</c:v>
                </c:pt>
                <c:pt idx="10">
                  <c:v>18.69918699186992</c:v>
                </c:pt>
                <c:pt idx="11">
                  <c:v>20.191540303272145</c:v>
                </c:pt>
                <c:pt idx="12">
                  <c:v>21.630094043887144</c:v>
                </c:pt>
                <c:pt idx="13">
                  <c:v>23.017705927636644</c:v>
                </c:pt>
                <c:pt idx="14">
                  <c:v>24.35703479576399</c:v>
                </c:pt>
                <c:pt idx="15">
                  <c:v>25.650557620817846</c:v>
                </c:pt>
                <c:pt idx="16">
                  <c:v>26.900584795321638</c:v>
                </c:pt>
                <c:pt idx="17">
                  <c:v>28.109273903666423</c:v>
                </c:pt>
                <c:pt idx="18">
                  <c:v>33.59893758300133</c:v>
                </c:pt>
                <c:pt idx="19">
                  <c:v>38.30968537939543</c:v>
                </c:pt>
                <c:pt idx="20">
                  <c:v>42.396313364055295</c:v>
                </c:pt>
                <c:pt idx="21">
                  <c:v>45.97514856834143</c:v>
                </c:pt>
                <c:pt idx="22">
                  <c:v>49.1353001017294</c:v>
                </c:pt>
                <c:pt idx="23">
                  <c:v>54.46265938069217</c:v>
                </c:pt>
                <c:pt idx="24">
                  <c:v>58.779884583676825</c:v>
                </c:pt>
                <c:pt idx="25">
                  <c:v>62.34939759036145</c:v>
                </c:pt>
                <c:pt idx="26">
                  <c:v>69.69696969696969</c:v>
                </c:pt>
                <c:pt idx="27">
                  <c:v>82.14285714285714</c:v>
                </c:pt>
                <c:pt idx="28">
                  <c:v>90.19607843137254</c:v>
                </c:pt>
                <c:pt idx="29">
                  <c:v>94.84536082474226</c:v>
                </c:pt>
                <c:pt idx="30">
                  <c:v>97.87234042553192</c:v>
                </c:pt>
                <c:pt idx="31">
                  <c:v>99.56709956709956</c:v>
                </c:pt>
              </c:numCache>
            </c:numRef>
          </c:xVal>
          <c:yVal>
            <c:numRef>
              <c:f>'Rhodes Diagram Calcs'!$I$10:$I$41</c:f>
              <c:numCache>
                <c:ptCount val="32"/>
                <c:pt idx="0">
                  <c:v>0</c:v>
                </c:pt>
                <c:pt idx="1">
                  <c:v>9.09090909090909</c:v>
                </c:pt>
                <c:pt idx="2">
                  <c:v>16.666666666666668</c:v>
                </c:pt>
                <c:pt idx="3">
                  <c:v>23.076923076923077</c:v>
                </c:pt>
                <c:pt idx="4">
                  <c:v>28.571428571428573</c:v>
                </c:pt>
                <c:pt idx="5">
                  <c:v>33.333333333333336</c:v>
                </c:pt>
                <c:pt idx="6">
                  <c:v>37.5</c:v>
                </c:pt>
                <c:pt idx="7">
                  <c:v>41.1764705882353</c:v>
                </c:pt>
                <c:pt idx="8">
                  <c:v>44.44444444444444</c:v>
                </c:pt>
                <c:pt idx="9">
                  <c:v>47.36842105263158</c:v>
                </c:pt>
                <c:pt idx="10">
                  <c:v>50</c:v>
                </c:pt>
                <c:pt idx="11">
                  <c:v>52.38095238095239</c:v>
                </c:pt>
                <c:pt idx="12">
                  <c:v>54.54545454545454</c:v>
                </c:pt>
                <c:pt idx="13">
                  <c:v>56.52173913043479</c:v>
                </c:pt>
                <c:pt idx="14">
                  <c:v>58.333333333333336</c:v>
                </c:pt>
                <c:pt idx="15">
                  <c:v>60</c:v>
                </c:pt>
                <c:pt idx="16">
                  <c:v>61.53846153846153</c:v>
                </c:pt>
                <c:pt idx="17">
                  <c:v>62.96296296296296</c:v>
                </c:pt>
                <c:pt idx="18">
                  <c:v>68.75</c:v>
                </c:pt>
                <c:pt idx="19">
                  <c:v>72.97297297297297</c:v>
                </c:pt>
                <c:pt idx="20">
                  <c:v>76.19047619047619</c:v>
                </c:pt>
                <c:pt idx="21">
                  <c:v>78.72340425531915</c:v>
                </c:pt>
                <c:pt idx="22">
                  <c:v>80.76923076923076</c:v>
                </c:pt>
                <c:pt idx="23">
                  <c:v>83.87096774193549</c:v>
                </c:pt>
                <c:pt idx="24">
                  <c:v>86.11111111111111</c:v>
                </c:pt>
                <c:pt idx="25">
                  <c:v>87.8048780487805</c:v>
                </c:pt>
                <c:pt idx="26">
                  <c:v>90.9090909090909</c:v>
                </c:pt>
                <c:pt idx="27">
                  <c:v>95.23809523809524</c:v>
                </c:pt>
                <c:pt idx="28">
                  <c:v>97.5609756097561</c:v>
                </c:pt>
                <c:pt idx="29">
                  <c:v>98.76543209876543</c:v>
                </c:pt>
                <c:pt idx="30">
                  <c:v>99.50248756218906</c:v>
                </c:pt>
                <c:pt idx="31">
                  <c:v>99.9000999000999</c:v>
                </c:pt>
              </c:numCache>
            </c:numRef>
          </c:yVal>
          <c:smooth val="0"/>
        </c:ser>
        <c:ser>
          <c:idx val="3"/>
          <c:order val="3"/>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'Rhodes Diagram Calcs'!$M$10:$M$41</c:f>
              <c:numCache>
                <c:ptCount val="32"/>
                <c:pt idx="0">
                  <c:v>0</c:v>
                </c:pt>
                <c:pt idx="1">
                  <c:v>3.3816425120772946</c:v>
                </c:pt>
                <c:pt idx="2">
                  <c:v>6.542056074766354</c:v>
                </c:pt>
                <c:pt idx="3">
                  <c:v>9.502262443438914</c:v>
                </c:pt>
                <c:pt idx="4">
                  <c:v>12.280701754385964</c:v>
                </c:pt>
                <c:pt idx="5">
                  <c:v>14.893617021276595</c:v>
                </c:pt>
                <c:pt idx="6">
                  <c:v>17.355371900826448</c:v>
                </c:pt>
                <c:pt idx="7">
                  <c:v>19.67871485943775</c:v>
                </c:pt>
                <c:pt idx="8">
                  <c:v>21.874999999999996</c:v>
                </c:pt>
                <c:pt idx="9">
                  <c:v>23.954372623574145</c:v>
                </c:pt>
                <c:pt idx="10">
                  <c:v>25.925925925925924</c:v>
                </c:pt>
                <c:pt idx="11">
                  <c:v>27.79783393501805</c:v>
                </c:pt>
                <c:pt idx="12">
                  <c:v>29.577464788732396</c:v>
                </c:pt>
                <c:pt idx="13">
                  <c:v>31.271477663230232</c:v>
                </c:pt>
                <c:pt idx="14">
                  <c:v>32.88590604026845</c:v>
                </c:pt>
                <c:pt idx="15">
                  <c:v>34.42622950819672</c:v>
                </c:pt>
                <c:pt idx="16">
                  <c:v>35.89743589743589</c:v>
                </c:pt>
                <c:pt idx="17">
                  <c:v>37.30407523510972</c:v>
                </c:pt>
                <c:pt idx="18">
                  <c:v>43.50282485875706</c:v>
                </c:pt>
                <c:pt idx="19">
                  <c:v>48.58611825192803</c:v>
                </c:pt>
                <c:pt idx="20">
                  <c:v>52.830188679245275</c:v>
                </c:pt>
                <c:pt idx="21">
                  <c:v>56.42701525054466</c:v>
                </c:pt>
                <c:pt idx="22">
                  <c:v>59.51417004048584</c:v>
                </c:pt>
                <c:pt idx="23">
                  <c:v>64.53900709219857</c:v>
                </c:pt>
                <c:pt idx="24">
                  <c:v>68.45425867507886</c:v>
                </c:pt>
                <c:pt idx="25">
                  <c:v>71.5909090909091</c:v>
                </c:pt>
                <c:pt idx="26">
                  <c:v>77.77777777777777</c:v>
                </c:pt>
                <c:pt idx="27">
                  <c:v>87.5</c:v>
                </c:pt>
                <c:pt idx="28">
                  <c:v>93.33333333333333</c:v>
                </c:pt>
                <c:pt idx="29">
                  <c:v>96.55172413793103</c:v>
                </c:pt>
                <c:pt idx="30">
                  <c:v>98.59154929577464</c:v>
                </c:pt>
                <c:pt idx="31">
                  <c:v>99.71509971509971</c:v>
                </c:pt>
              </c:numCache>
            </c:numRef>
          </c:xVal>
          <c:yVal>
            <c:numRef>
              <c:f>'Rhodes Diagram Calcs'!$N$10:$N$41</c:f>
              <c:numCache>
                <c:ptCount val="32"/>
                <c:pt idx="0">
                  <c:v>0</c:v>
                </c:pt>
                <c:pt idx="1">
                  <c:v>9.09090909090909</c:v>
                </c:pt>
                <c:pt idx="2">
                  <c:v>16.666666666666668</c:v>
                </c:pt>
                <c:pt idx="3">
                  <c:v>23.076923076923077</c:v>
                </c:pt>
                <c:pt idx="4">
                  <c:v>28.571428571428573</c:v>
                </c:pt>
                <c:pt idx="5">
                  <c:v>33.333333333333336</c:v>
                </c:pt>
                <c:pt idx="6">
                  <c:v>37.5</c:v>
                </c:pt>
                <c:pt idx="7">
                  <c:v>41.1764705882353</c:v>
                </c:pt>
                <c:pt idx="8">
                  <c:v>44.44444444444444</c:v>
                </c:pt>
                <c:pt idx="9">
                  <c:v>47.36842105263158</c:v>
                </c:pt>
                <c:pt idx="10">
                  <c:v>50</c:v>
                </c:pt>
                <c:pt idx="11">
                  <c:v>52.38095238095239</c:v>
                </c:pt>
                <c:pt idx="12">
                  <c:v>54.54545454545454</c:v>
                </c:pt>
                <c:pt idx="13">
                  <c:v>56.52173913043479</c:v>
                </c:pt>
                <c:pt idx="14">
                  <c:v>58.333333333333336</c:v>
                </c:pt>
                <c:pt idx="15">
                  <c:v>60</c:v>
                </c:pt>
                <c:pt idx="16">
                  <c:v>61.53846153846153</c:v>
                </c:pt>
                <c:pt idx="17">
                  <c:v>62.96296296296296</c:v>
                </c:pt>
                <c:pt idx="18">
                  <c:v>68.75</c:v>
                </c:pt>
                <c:pt idx="19">
                  <c:v>72.97297297297297</c:v>
                </c:pt>
                <c:pt idx="20">
                  <c:v>76.19047619047619</c:v>
                </c:pt>
                <c:pt idx="21">
                  <c:v>78.72340425531915</c:v>
                </c:pt>
                <c:pt idx="22">
                  <c:v>80.76923076923076</c:v>
                </c:pt>
                <c:pt idx="23">
                  <c:v>83.87096774193549</c:v>
                </c:pt>
                <c:pt idx="24">
                  <c:v>86.11111111111111</c:v>
                </c:pt>
                <c:pt idx="25">
                  <c:v>87.8048780487805</c:v>
                </c:pt>
                <c:pt idx="26">
                  <c:v>90.9090909090909</c:v>
                </c:pt>
                <c:pt idx="27">
                  <c:v>95.23809523809524</c:v>
                </c:pt>
                <c:pt idx="28">
                  <c:v>97.5609756097561</c:v>
                </c:pt>
                <c:pt idx="29">
                  <c:v>98.76543209876543</c:v>
                </c:pt>
                <c:pt idx="30">
                  <c:v>99.50248756218906</c:v>
                </c:pt>
                <c:pt idx="31">
                  <c:v>99.9000999000999</c:v>
                </c:pt>
              </c:numCache>
            </c:numRef>
          </c:yVal>
          <c:smooth val="0"/>
        </c:ser>
        <c:axId val="60584617"/>
        <c:axId val="19589006"/>
      </c:scatterChart>
      <c:valAx>
        <c:axId val="60584617"/>
        <c:scaling>
          <c:orientation val="minMax"/>
          <c:max val="100"/>
        </c:scaling>
        <c:axPos val="b"/>
        <c:title>
          <c:tx>
            <c:rich>
              <a:bodyPr vert="horz" rot="0" anchor="ctr"/>
              <a:lstStyle/>
              <a:p>
                <a:pPr algn="ctr">
                  <a:defRPr/>
                </a:pPr>
                <a:r>
                  <a:rPr lang="en-US" cap="none" sz="1400" b="0" i="0" u="none" baseline="0">
                    <a:latin typeface="Verdana"/>
                    <a:ea typeface="Verdana"/>
                    <a:cs typeface="Verdana"/>
                  </a:rPr>
                  <a:t>100*Mg# Liquid</a:t>
                </a:r>
              </a:p>
            </c:rich>
          </c:tx>
          <c:layout>
            <c:manualLayout>
              <c:xMode val="factor"/>
              <c:yMode val="factor"/>
              <c:x val="0"/>
              <c:y val="0"/>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100" b="0" i="0" u="none" baseline="0">
                <a:solidFill>
                  <a:srgbClr val="000000"/>
                </a:solidFill>
                <a:latin typeface="Verdana"/>
                <a:ea typeface="Verdana"/>
                <a:cs typeface="Verdana"/>
              </a:defRPr>
            </a:pPr>
          </a:p>
        </c:txPr>
        <c:crossAx val="19589006"/>
        <c:crosses val="autoZero"/>
        <c:crossBetween val="midCat"/>
        <c:dispUnits/>
      </c:valAx>
      <c:valAx>
        <c:axId val="19589006"/>
        <c:scaling>
          <c:orientation val="minMax"/>
          <c:max val="100"/>
        </c:scaling>
        <c:axPos val="l"/>
        <c:title>
          <c:tx>
            <c:rich>
              <a:bodyPr vert="horz" rot="-5400000" anchor="ctr"/>
              <a:lstStyle/>
              <a:p>
                <a:pPr algn="ctr">
                  <a:defRPr/>
                </a:pPr>
                <a:r>
                  <a:rPr lang="en-US" cap="none" sz="1400" b="0" i="0" u="none" baseline="0">
                    <a:latin typeface="Verdana"/>
                    <a:ea typeface="Verdana"/>
                    <a:cs typeface="Verdana"/>
                  </a:rPr>
                  <a:t>100*Mg# Orthopyroxene</a:t>
                </a:r>
              </a:p>
            </c:rich>
          </c:tx>
          <c:layout>
            <c:manualLayout>
              <c:xMode val="factor"/>
              <c:yMode val="factor"/>
              <c:x val="-0.00275"/>
              <c:y val="0"/>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100" b="0" i="0" u="none" baseline="0">
                <a:solidFill>
                  <a:srgbClr val="000000"/>
                </a:solidFill>
                <a:latin typeface="Verdana"/>
                <a:ea typeface="Verdana"/>
                <a:cs typeface="Verdana"/>
              </a:defRPr>
            </a:pPr>
          </a:p>
        </c:txPr>
        <c:crossAx val="60584617"/>
        <c:crosses val="autoZero"/>
        <c:crossBetween val="midCat"/>
        <c:dispUnits/>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Verdana"/>
          <a:ea typeface="Verdana"/>
          <a:cs typeface="Verdana"/>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88"/>
  </sheetViews>
  <pageMargins left="0.75" right="0.75" top="1" bottom="1" header="0.5" footer="0.5"/>
  <pageSetup horizontalDpi="300" verticalDpi="300" orientation="portrait"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704850</xdr:colOff>
      <xdr:row>2</xdr:row>
      <xdr:rowOff>9525</xdr:rowOff>
    </xdr:from>
    <xdr:to>
      <xdr:col>11</xdr:col>
      <xdr:colOff>781050</xdr:colOff>
      <xdr:row>55</xdr:row>
      <xdr:rowOff>0</xdr:rowOff>
    </xdr:to>
    <xdr:sp>
      <xdr:nvSpPr>
        <xdr:cNvPr id="1" name="TextBox 1"/>
        <xdr:cNvSpPr txBox="1">
          <a:spLocks noChangeArrowheads="1"/>
        </xdr:cNvSpPr>
      </xdr:nvSpPr>
      <xdr:spPr>
        <a:xfrm>
          <a:off x="704850" y="333375"/>
          <a:ext cx="9296400" cy="85725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600" b="1" i="0" u="none" baseline="0">
              <a:solidFill>
                <a:srgbClr val="000000"/>
              </a:solidFill>
              <a:latin typeface="Calibri"/>
              <a:ea typeface="Calibri"/>
              <a:cs typeface="Calibri"/>
            </a:rPr>
            <a:t>Instructions for Estimating P and T Using Orthopyroxene-based Thermobarometers
</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For details and references  see: Putirka, K. (2008) Thermometers and Barometers for Volcanic Systems. In: Putirka, K., Tepley, F. (Eds.), Minerals, Inclusions and Volcanic Processes, Reviews in Mineralogy and Geochemistry, Mineralogical Soc. Am., v. 69, pp. 61-120.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Input
</a:t>
          </a:r>
          <a:r>
            <a:rPr lang="en-US" cap="none" sz="1200" b="0" i="0" u="none" baseline="0">
              <a:solidFill>
                <a:srgbClr val="000000"/>
              </a:solidFill>
              <a:latin typeface="Calibri"/>
              <a:ea typeface="Calibri"/>
              <a:cs typeface="Calibri"/>
            </a:rPr>
            <a:t>Enter a nominal liquid composition in columns G-S (see “Opx-liquid Input &amp; Models”), leaving blank any oxides that are not available. The “liquid” could be the composition of a glass, or the whole rock, or some calculated composition – use whatever you think is most likely to be in equilibrium with a given orthopyroxene, whose composition will be entered in columns V – AG. As a rule of thumb, you might consider matching mineral rims to matrix glass and mineral cores to whole rock compositions, at least to start. When using mineral core compositions, I often add or subtract minerals from the whole rock so as to achieve Fe-Mg exchange (i.e., following a cotectic). Be aware that in Column J, all Fe is as FeOt. For comparison of Fe-Mg exchange coefficients (see later section on tests for equilibrium), you may want to input FeO instead of FeOt.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Settings
</a:t>
          </a:r>
          <a:r>
            <a:rPr lang="en-US" cap="none" sz="1200" b="0" i="0" u="none" baseline="0">
              <a:solidFill>
                <a:srgbClr val="000000"/>
              </a:solidFill>
              <a:latin typeface="Calibri"/>
              <a:ea typeface="Calibri"/>
              <a:cs typeface="Calibri"/>
            </a:rPr>
            <a:t>In this workbook, most thermometers are P-sensitive and most barometers are T-sensitive. Two equations can be solved simultaneously to arrive at P and T, which is accomplished here by using the output of one model as input for another. To work, you must make certain that under Excel – Preferences – Calculations, that “Iterative” calculations are allowed, otherwise Excel will report a “Circular reference” error.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P-T calculations
</a:t>
          </a:r>
          <a:r>
            <a:rPr lang="en-US" cap="none" sz="1200" b="0" i="0" u="none" baseline="0">
              <a:solidFill>
                <a:srgbClr val="000000"/>
              </a:solidFill>
              <a:latin typeface="Calibri"/>
              <a:ea typeface="Calibri"/>
              <a:cs typeface="Calibri"/>
            </a:rPr>
            <a:t>The thermometers in columns AJ – AL  (see “Opx-liq Input &amp; Models”) require P as input and use the values entered in column C (in this case the measured values from experiments, which are shown as examples).  The barometers use equation 28a, as input for T, which is in column AK.  To set up an iterative numerical solution, set the pressure that appears in column C equal the value of P in either of columns AN, AO or AP.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Tests for equilibrium
</a:t>
          </a:r>
          <a:r>
            <a:rPr lang="en-US" cap="none" sz="1200" b="0" i="0" u="none" baseline="0">
              <a:solidFill>
                <a:srgbClr val="000000"/>
              </a:solidFill>
              <a:latin typeface="Calibri"/>
              <a:ea typeface="Calibri"/>
              <a:cs typeface="Calibri"/>
            </a:rPr>
            <a:t>The best test is to compare T or P estimates from independent equilibria; if such T and/or P estimates are within, say 1 standard deviation, chances are good that that the estimates are valid. Having said that, oftentimes such calculations are not possible. And even when they are, it is a good idea to test whether the phases in question are in equilibrium.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For orthopyroxene-liquid equilibrium, the test is very similar to the very familiar test proposed by Roeder and Emslie (1970) and often portrayed in the Rhodes diagram (see chart with this name) as first proposed by Rhodes et al. (1979). The test compares the observed Fe-Mg exchange coefficient with a constant value. That value is shown in column AR (see “Opx-liq Input &amp; Models”). Experimental data indicate a value of 0.29±0.06, which is graphically portrayed in the chart titled “Rhodes Diagram”.  To change either the constant value, or the error bounds that are portrayed in the chart, go to the sheet titled “Rhodes Diagram Calcs” and edit the values in C4 (for the constant value) and C6 (for the error bounds). In ideal circumstances, data should fall within the dashed curves that mark the indicated error, on the chart titled “Rhodes Diagram”.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6391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11.00390625" defaultRowHeight="12.75"/>
  <sheetData/>
  <printOptions/>
  <pageMargins left="0.75" right="0.75" top="1" bottom="1" header="0.5" footer="0.5"/>
  <pageSetup orientation="portrait"/>
  <drawing r:id="rId1"/>
</worksheet>
</file>

<file path=xl/worksheets/sheet2.xml><?xml version="1.0" encoding="utf-8"?>
<worksheet xmlns="http://schemas.openxmlformats.org/spreadsheetml/2006/main" xmlns:r="http://schemas.openxmlformats.org/officeDocument/2006/relationships">
  <dimension ref="A1:EQ29"/>
  <sheetViews>
    <sheetView workbookViewId="0" topLeftCell="AL1">
      <selection activeCell="AV16" sqref="AV16:AW29"/>
    </sheetView>
  </sheetViews>
  <sheetFormatPr defaultColWidth="11.00390625" defaultRowHeight="12.75"/>
  <cols>
    <col min="1" max="1" width="27.375" style="1" customWidth="1"/>
    <col min="2" max="2" width="12.625" style="1" customWidth="1"/>
    <col min="3" max="3" width="20.875" style="1" customWidth="1"/>
    <col min="4" max="4" width="16.625" style="1" customWidth="1"/>
    <col min="5" max="34" width="10.75390625" style="1" customWidth="1"/>
    <col min="35" max="35" width="3.375" style="1" customWidth="1"/>
    <col min="36" max="36" width="16.875" style="1" customWidth="1"/>
    <col min="37" max="38" width="10.75390625" style="1" customWidth="1"/>
    <col min="39" max="39" width="4.00390625" style="1" customWidth="1"/>
    <col min="40" max="40" width="15.75390625" style="1" customWidth="1"/>
    <col min="41" max="41" width="15.00390625" style="2" customWidth="1"/>
    <col min="42" max="42" width="13.75390625" style="1" customWidth="1"/>
    <col min="43" max="43" width="5.00390625" style="1" customWidth="1"/>
    <col min="44" max="44" width="13.875" style="65" customWidth="1"/>
    <col min="45" max="45" width="5.875" style="1" customWidth="1"/>
    <col min="46" max="49" width="13.00390625" style="1" customWidth="1"/>
    <col min="50" max="61" width="10.75390625" style="1" customWidth="1"/>
    <col min="62" max="62" width="5.875" style="1" customWidth="1"/>
    <col min="63" max="74" width="10.75390625" style="1" customWidth="1"/>
    <col min="75" max="75" width="5.25390625" style="1" customWidth="1"/>
    <col min="76" max="86" width="10.75390625" style="1" customWidth="1"/>
    <col min="87" max="90" width="6.375" style="1" customWidth="1"/>
    <col min="91" max="101" width="10.75390625" style="1" customWidth="1"/>
    <col min="102" max="103" width="5.00390625" style="1" customWidth="1"/>
    <col min="104" max="115" width="8.625" style="1" customWidth="1"/>
    <col min="116" max="116" width="7.75390625" style="1" customWidth="1"/>
    <col min="117" max="117" width="8.625" style="1" customWidth="1"/>
    <col min="118" max="118" width="8.25390625" style="1" customWidth="1"/>
    <col min="119" max="119" width="2.375" style="1" customWidth="1"/>
    <col min="120" max="121" width="10.375" style="1" customWidth="1"/>
    <col min="122" max="122" width="12.00390625" style="1" customWidth="1"/>
    <col min="123" max="123" width="11.625" style="1" customWidth="1"/>
    <col min="124" max="124" width="10.25390625" style="1" customWidth="1"/>
    <col min="125" max="125" width="9.75390625" style="1" customWidth="1"/>
    <col min="126" max="126" width="8.25390625" style="1" customWidth="1"/>
    <col min="127" max="127" width="15.625" style="1" customWidth="1"/>
    <col min="128" max="128" width="8.25390625" style="1" customWidth="1"/>
    <col min="129" max="129" width="7.625" style="1" customWidth="1"/>
    <col min="130" max="130" width="5.00390625" style="1" customWidth="1"/>
    <col min="131" max="134" width="10.75390625" style="1" customWidth="1"/>
    <col min="135" max="135" width="10.375" style="1" customWidth="1"/>
    <col min="136" max="138" width="10.75390625" style="1" customWidth="1"/>
    <col min="139" max="140" width="9.00390625" style="1" customWidth="1"/>
    <col min="141" max="143" width="10.75390625" style="1" customWidth="1"/>
    <col min="144" max="144" width="10.625" style="1" customWidth="1"/>
    <col min="145" max="16384" width="10.75390625" style="1" customWidth="1"/>
  </cols>
  <sheetData>
    <row r="1" ht="22.5">
      <c r="A1" s="3" t="s">
        <v>21</v>
      </c>
    </row>
    <row r="2" ht="12.75">
      <c r="A2" s="4"/>
    </row>
    <row r="3" ht="22.5">
      <c r="A3" s="5" t="s">
        <v>19</v>
      </c>
    </row>
    <row r="4" ht="22.5">
      <c r="A4" s="5" t="s">
        <v>20</v>
      </c>
    </row>
    <row r="5" ht="12.75">
      <c r="A5" s="4"/>
    </row>
    <row r="6" ht="18">
      <c r="A6" s="6" t="s">
        <v>113</v>
      </c>
    </row>
    <row r="7" ht="18">
      <c r="A7" s="6" t="s">
        <v>15</v>
      </c>
    </row>
    <row r="8" ht="18">
      <c r="A8" s="6"/>
    </row>
    <row r="9" ht="18">
      <c r="A9" s="6"/>
    </row>
    <row r="10" spans="41:86" s="7" customFormat="1" ht="12.75">
      <c r="AO10" s="26"/>
      <c r="AR10" s="66"/>
      <c r="AX10" s="8" t="s">
        <v>116</v>
      </c>
      <c r="AY10" s="8" t="s">
        <v>16</v>
      </c>
      <c r="AZ10" s="8" t="s">
        <v>118</v>
      </c>
      <c r="BA10" s="8" t="s">
        <v>132</v>
      </c>
      <c r="BB10" s="8" t="s">
        <v>120</v>
      </c>
      <c r="BC10" s="8" t="s">
        <v>121</v>
      </c>
      <c r="BD10" s="8" t="s">
        <v>122</v>
      </c>
      <c r="BE10" s="8" t="s">
        <v>123</v>
      </c>
      <c r="BF10" s="8" t="s">
        <v>124</v>
      </c>
      <c r="BG10" s="8" t="s">
        <v>17</v>
      </c>
      <c r="BH10" s="8" t="s">
        <v>125</v>
      </c>
      <c r="BI10" s="8" t="s">
        <v>18</v>
      </c>
      <c r="BX10" s="8" t="s">
        <v>116</v>
      </c>
      <c r="BY10" s="8" t="s">
        <v>16</v>
      </c>
      <c r="BZ10" s="8" t="s">
        <v>118</v>
      </c>
      <c r="CA10" s="8" t="s">
        <v>132</v>
      </c>
      <c r="CB10" s="8" t="s">
        <v>120</v>
      </c>
      <c r="CC10" s="8" t="s">
        <v>121</v>
      </c>
      <c r="CD10" s="8" t="s">
        <v>122</v>
      </c>
      <c r="CE10" s="8" t="s">
        <v>123</v>
      </c>
      <c r="CF10" s="8" t="s">
        <v>124</v>
      </c>
      <c r="CG10" s="8" t="s">
        <v>17</v>
      </c>
      <c r="CH10" s="8" t="s">
        <v>125</v>
      </c>
    </row>
    <row r="11" spans="1:140" s="8" customFormat="1" ht="18">
      <c r="A11" s="7"/>
      <c r="B11" s="7"/>
      <c r="C11" s="14" t="s">
        <v>25</v>
      </c>
      <c r="D11" s="15"/>
      <c r="G11" s="62" t="s">
        <v>114</v>
      </c>
      <c r="H11" s="22"/>
      <c r="I11" s="23"/>
      <c r="J11" s="27"/>
      <c r="K11" s="27"/>
      <c r="L11" s="27"/>
      <c r="M11" s="27"/>
      <c r="N11" s="27"/>
      <c r="O11" s="27"/>
      <c r="V11" s="62" t="s">
        <v>129</v>
      </c>
      <c r="W11" s="24"/>
      <c r="X11" s="25"/>
      <c r="Y11" s="25"/>
      <c r="Z11" s="27"/>
      <c r="AA11" s="27"/>
      <c r="AB11" s="27"/>
      <c r="AC11" s="27"/>
      <c r="AD11" s="27"/>
      <c r="AJ11" s="9"/>
      <c r="AO11" s="10"/>
      <c r="AR11" s="67"/>
      <c r="AX11" s="8">
        <v>60.08</v>
      </c>
      <c r="AY11" s="8">
        <v>79.9</v>
      </c>
      <c r="AZ11" s="8">
        <f>0.5*101.96</f>
        <v>50.98</v>
      </c>
      <c r="BA11" s="8">
        <v>71.85</v>
      </c>
      <c r="BB11" s="8">
        <v>70.94</v>
      </c>
      <c r="BC11" s="8">
        <v>40.3</v>
      </c>
      <c r="BD11" s="8">
        <v>56.08</v>
      </c>
      <c r="BE11" s="8">
        <f>0.5*61.98</f>
        <v>30.99</v>
      </c>
      <c r="BF11" s="8">
        <f>0.5*94.2</f>
        <v>47.1</v>
      </c>
      <c r="BG11" s="8">
        <f>15.9994+58.69</f>
        <v>74.68939999999999</v>
      </c>
      <c r="BH11" s="8">
        <f>(2*52+3*15.9994)/2</f>
        <v>75.9991</v>
      </c>
      <c r="BI11" s="8">
        <f>5*15.9994+2*30.97</f>
        <v>141.937</v>
      </c>
      <c r="BX11" s="8">
        <v>60.08</v>
      </c>
      <c r="BY11" s="8">
        <v>79.9</v>
      </c>
      <c r="BZ11" s="8">
        <v>101.96</v>
      </c>
      <c r="CA11" s="8">
        <v>71.85</v>
      </c>
      <c r="CB11" s="8">
        <v>70.94</v>
      </c>
      <c r="CC11" s="8">
        <v>40.3</v>
      </c>
      <c r="CD11" s="8">
        <v>56.08</v>
      </c>
      <c r="CE11" s="8">
        <v>61.98</v>
      </c>
      <c r="CF11" s="8">
        <v>94.2</v>
      </c>
      <c r="CG11" s="8">
        <f>15.9994+58.69</f>
        <v>74.68939999999999</v>
      </c>
      <c r="CH11" s="8">
        <f>2*52+3*15.9994</f>
        <v>151.9982</v>
      </c>
      <c r="DD11" s="9"/>
      <c r="DE11" s="9"/>
      <c r="DF11" s="9"/>
      <c r="DG11" s="9"/>
      <c r="DH11" s="9"/>
      <c r="DI11" s="9"/>
      <c r="DJ11" s="9"/>
      <c r="DK11" s="9"/>
      <c r="DL11" s="9"/>
      <c r="DM11" s="9"/>
      <c r="DN11" s="9"/>
      <c r="DO11" s="9"/>
      <c r="DP11" s="9"/>
      <c r="DQ11" s="9"/>
      <c r="DR11" s="9"/>
      <c r="DS11" s="9"/>
      <c r="EG11" s="9"/>
      <c r="EH11" s="9"/>
      <c r="EI11" s="9"/>
      <c r="EJ11" s="9"/>
    </row>
    <row r="12" spans="3:140" s="8" customFormat="1" ht="18">
      <c r="C12" s="16" t="s">
        <v>82</v>
      </c>
      <c r="D12" s="17"/>
      <c r="G12" s="28"/>
      <c r="H12" s="27"/>
      <c r="I12" s="27"/>
      <c r="J12" s="27"/>
      <c r="K12" s="27"/>
      <c r="L12" s="27"/>
      <c r="M12" s="27"/>
      <c r="N12" s="27"/>
      <c r="O12" s="27"/>
      <c r="V12" s="28"/>
      <c r="W12" s="27"/>
      <c r="X12" s="27"/>
      <c r="Y12" s="27"/>
      <c r="Z12" s="27"/>
      <c r="AA12" s="27"/>
      <c r="AB12" s="27"/>
      <c r="AC12" s="27"/>
      <c r="AD12" s="27"/>
      <c r="AJ12" s="57" t="s">
        <v>3</v>
      </c>
      <c r="AK12" s="39"/>
      <c r="AL12" s="39"/>
      <c r="AN12" s="57" t="s">
        <v>14</v>
      </c>
      <c r="AO12" s="56"/>
      <c r="AP12" s="39"/>
      <c r="AR12" s="68" t="s">
        <v>85</v>
      </c>
      <c r="AX12"/>
      <c r="AY12"/>
      <c r="AZ12"/>
      <c r="BA12"/>
      <c r="BB12"/>
      <c r="BC12"/>
      <c r="BD12"/>
      <c r="BE12"/>
      <c r="BF12"/>
      <c r="BG12"/>
      <c r="BH12"/>
      <c r="BI12"/>
      <c r="DD12" s="9"/>
      <c r="DE12" s="9"/>
      <c r="DF12" s="9"/>
      <c r="DG12" s="9"/>
      <c r="DH12" s="9"/>
      <c r="DI12" s="9"/>
      <c r="DJ12" s="9"/>
      <c r="DK12" s="9"/>
      <c r="DL12" s="9"/>
      <c r="DM12" s="9"/>
      <c r="DN12" s="9"/>
      <c r="DO12" s="9"/>
      <c r="DP12" s="9"/>
      <c r="DQ12" s="9"/>
      <c r="DR12" s="9"/>
      <c r="DS12" s="9"/>
      <c r="EG12" s="9"/>
      <c r="EH12" s="9"/>
      <c r="EI12" s="9"/>
      <c r="EJ12" s="9"/>
    </row>
    <row r="13" spans="1:145" s="8" customFormat="1" ht="18">
      <c r="A13" s="4" t="s">
        <v>22</v>
      </c>
      <c r="B13" s="11"/>
      <c r="C13" s="18" t="s">
        <v>130</v>
      </c>
      <c r="D13" s="19" t="s">
        <v>26</v>
      </c>
      <c r="G13" s="28"/>
      <c r="H13" s="27"/>
      <c r="I13" s="27"/>
      <c r="J13" s="27"/>
      <c r="K13" s="27"/>
      <c r="L13" s="27"/>
      <c r="M13" s="27"/>
      <c r="N13" s="27"/>
      <c r="O13" s="27"/>
      <c r="V13" s="28"/>
      <c r="W13" s="27"/>
      <c r="X13" s="27"/>
      <c r="Y13" s="27"/>
      <c r="Z13" s="27"/>
      <c r="AA13" s="27"/>
      <c r="AB13" s="27"/>
      <c r="AC13" s="27"/>
      <c r="AD13" s="27"/>
      <c r="AJ13" s="39" t="s">
        <v>4</v>
      </c>
      <c r="AK13" s="39"/>
      <c r="AL13" s="39"/>
      <c r="AN13" s="39" t="s">
        <v>4</v>
      </c>
      <c r="AO13" s="39"/>
      <c r="AP13" s="39"/>
      <c r="AR13" s="68" t="s">
        <v>84</v>
      </c>
      <c r="AX13" s="8" t="s">
        <v>43</v>
      </c>
      <c r="BK13" s="42" t="s">
        <v>44</v>
      </c>
      <c r="BL13" s="43"/>
      <c r="BM13" s="43"/>
      <c r="BN13" s="43"/>
      <c r="BO13" s="43"/>
      <c r="BP13" s="43"/>
      <c r="BQ13" s="43"/>
      <c r="BR13" s="43"/>
      <c r="BS13" s="43"/>
      <c r="BT13" s="43"/>
      <c r="BU13" s="43"/>
      <c r="BV13" s="53"/>
      <c r="BX13" s="8" t="s">
        <v>45</v>
      </c>
      <c r="CM13" s="8" t="s">
        <v>46</v>
      </c>
      <c r="CZ13" s="42" t="s">
        <v>47</v>
      </c>
      <c r="DA13" s="43"/>
      <c r="DB13" s="43"/>
      <c r="DC13" s="43"/>
      <c r="DD13" s="44"/>
      <c r="DE13" s="44"/>
      <c r="DF13" s="44"/>
      <c r="DG13" s="44"/>
      <c r="DH13" s="44"/>
      <c r="DI13" s="44"/>
      <c r="DJ13" s="44"/>
      <c r="DK13" s="44"/>
      <c r="DL13" s="44"/>
      <c r="DM13" s="45"/>
      <c r="DN13" s="9"/>
      <c r="DO13" s="9"/>
      <c r="DP13" s="9"/>
      <c r="DQ13" s="9"/>
      <c r="DR13" s="9"/>
      <c r="DS13" s="9"/>
      <c r="EG13" s="9"/>
      <c r="EH13" s="9"/>
      <c r="EI13" s="9"/>
      <c r="EJ13" s="9"/>
      <c r="EM13" s="8" t="s">
        <v>48</v>
      </c>
      <c r="EO13" s="8" t="s">
        <v>48</v>
      </c>
    </row>
    <row r="14" spans="1:147" s="8" customFormat="1" ht="12.75">
      <c r="A14" s="12"/>
      <c r="B14" s="13"/>
      <c r="C14" s="13" t="s">
        <v>27</v>
      </c>
      <c r="D14" s="20"/>
      <c r="E14" s="29"/>
      <c r="F14" s="29" t="s">
        <v>6</v>
      </c>
      <c r="G14" s="32" t="s">
        <v>115</v>
      </c>
      <c r="H14" s="33"/>
      <c r="I14" s="33"/>
      <c r="J14" s="33"/>
      <c r="K14" s="33"/>
      <c r="L14" s="33"/>
      <c r="M14" s="33"/>
      <c r="N14" s="33"/>
      <c r="O14" s="33"/>
      <c r="P14" s="33"/>
      <c r="Q14" s="33"/>
      <c r="R14" s="33"/>
      <c r="S14" s="33"/>
      <c r="T14" s="8" t="s">
        <v>128</v>
      </c>
      <c r="V14" s="32" t="s">
        <v>7</v>
      </c>
      <c r="W14" s="34"/>
      <c r="X14" s="34"/>
      <c r="Y14" s="34"/>
      <c r="Z14" s="34"/>
      <c r="AA14" s="34"/>
      <c r="AB14" s="34"/>
      <c r="AC14" s="34"/>
      <c r="AD14" s="34"/>
      <c r="AE14" s="33"/>
      <c r="AF14" s="33"/>
      <c r="AG14" s="33"/>
      <c r="AH14" s="35"/>
      <c r="AI14" s="35"/>
      <c r="AJ14" s="58" t="s">
        <v>56</v>
      </c>
      <c r="AK14" s="58" t="s">
        <v>8</v>
      </c>
      <c r="AL14" s="58" t="s">
        <v>11</v>
      </c>
      <c r="AM14" s="59"/>
      <c r="AN14" s="58" t="s">
        <v>12</v>
      </c>
      <c r="AO14" s="58" t="s">
        <v>13</v>
      </c>
      <c r="AP14" s="60" t="s">
        <v>5</v>
      </c>
      <c r="AQ14" s="37"/>
      <c r="AR14" s="69"/>
      <c r="AS14" s="35"/>
      <c r="AT14" s="8" t="s">
        <v>50</v>
      </c>
      <c r="AU14" s="8" t="s">
        <v>50</v>
      </c>
      <c r="AX14" s="8" t="s">
        <v>49</v>
      </c>
      <c r="BK14" s="46" t="s">
        <v>49</v>
      </c>
      <c r="BL14" s="47"/>
      <c r="BM14" s="47"/>
      <c r="BN14" s="47"/>
      <c r="BO14" s="47"/>
      <c r="BP14" s="47"/>
      <c r="BQ14" s="47"/>
      <c r="BR14" s="47"/>
      <c r="BS14" s="47"/>
      <c r="BT14" s="47"/>
      <c r="BU14" s="47"/>
      <c r="BV14" s="49"/>
      <c r="BX14" s="8" t="s">
        <v>51</v>
      </c>
      <c r="CM14" s="8" t="s">
        <v>51</v>
      </c>
      <c r="CZ14" s="46" t="s">
        <v>51</v>
      </c>
      <c r="DA14" s="47"/>
      <c r="DB14" s="47"/>
      <c r="DC14" s="47"/>
      <c r="DD14" s="47"/>
      <c r="DE14" s="47"/>
      <c r="DF14" s="47"/>
      <c r="DG14" s="47"/>
      <c r="DH14" s="47"/>
      <c r="DI14" s="48"/>
      <c r="DJ14" s="47"/>
      <c r="DK14" s="47"/>
      <c r="DL14" s="47"/>
      <c r="DM14" s="49"/>
      <c r="DN14" s="8" t="s">
        <v>52</v>
      </c>
      <c r="DP14" s="42" t="s">
        <v>53</v>
      </c>
      <c r="DQ14" s="43"/>
      <c r="DR14" s="43"/>
      <c r="DS14" s="43"/>
      <c r="DT14" s="43"/>
      <c r="DU14" s="53"/>
      <c r="DV14" s="54" t="s">
        <v>9</v>
      </c>
      <c r="EA14" s="8" t="s">
        <v>54</v>
      </c>
      <c r="ED14" s="8" t="s">
        <v>55</v>
      </c>
      <c r="EH14" s="8" t="s">
        <v>57</v>
      </c>
      <c r="EK14" s="8" t="s">
        <v>58</v>
      </c>
      <c r="EM14" s="8" t="s">
        <v>59</v>
      </c>
      <c r="EO14" s="8" t="s">
        <v>59</v>
      </c>
      <c r="EQ14" s="8" t="s">
        <v>60</v>
      </c>
    </row>
    <row r="15" spans="1:147" s="29" customFormat="1" ht="12.75">
      <c r="A15" s="12" t="s">
        <v>23</v>
      </c>
      <c r="B15" s="13" t="s">
        <v>24</v>
      </c>
      <c r="C15" s="21" t="s">
        <v>64</v>
      </c>
      <c r="D15" s="20" t="s">
        <v>62</v>
      </c>
      <c r="F15" s="29" t="s">
        <v>61</v>
      </c>
      <c r="G15" s="21" t="s">
        <v>116</v>
      </c>
      <c r="H15" s="21" t="s">
        <v>117</v>
      </c>
      <c r="I15" s="21" t="s">
        <v>118</v>
      </c>
      <c r="J15" s="21" t="s">
        <v>119</v>
      </c>
      <c r="K15" s="21" t="s">
        <v>120</v>
      </c>
      <c r="L15" s="21" t="s">
        <v>121</v>
      </c>
      <c r="M15" s="21" t="s">
        <v>122</v>
      </c>
      <c r="N15" s="21" t="s">
        <v>123</v>
      </c>
      <c r="O15" s="21" t="s">
        <v>124</v>
      </c>
      <c r="P15" s="21" t="s">
        <v>17</v>
      </c>
      <c r="Q15" s="21" t="s">
        <v>125</v>
      </c>
      <c r="R15" s="21" t="s">
        <v>18</v>
      </c>
      <c r="S15" s="21" t="s">
        <v>126</v>
      </c>
      <c r="T15" s="29" t="s">
        <v>127</v>
      </c>
      <c r="V15" s="21" t="s">
        <v>116</v>
      </c>
      <c r="W15" s="21" t="s">
        <v>117</v>
      </c>
      <c r="X15" s="21" t="s">
        <v>118</v>
      </c>
      <c r="Y15" s="21" t="s">
        <v>119</v>
      </c>
      <c r="Z15" s="21" t="s">
        <v>120</v>
      </c>
      <c r="AA15" s="21" t="s">
        <v>121</v>
      </c>
      <c r="AB15" s="21" t="s">
        <v>122</v>
      </c>
      <c r="AC15" s="21" t="s">
        <v>123</v>
      </c>
      <c r="AD15" s="21" t="s">
        <v>124</v>
      </c>
      <c r="AE15" s="21" t="s">
        <v>17</v>
      </c>
      <c r="AF15" s="21" t="s">
        <v>125</v>
      </c>
      <c r="AG15" s="21" t="s">
        <v>18</v>
      </c>
      <c r="AH15" s="36" t="s">
        <v>127</v>
      </c>
      <c r="AI15" s="36"/>
      <c r="AJ15" s="61" t="s">
        <v>106</v>
      </c>
      <c r="AK15" s="61" t="s">
        <v>106</v>
      </c>
      <c r="AL15" s="61" t="s">
        <v>106</v>
      </c>
      <c r="AM15" s="36"/>
      <c r="AN15" s="61" t="s">
        <v>83</v>
      </c>
      <c r="AO15" s="61" t="s">
        <v>83</v>
      </c>
      <c r="AP15" s="61" t="s">
        <v>83</v>
      </c>
      <c r="AQ15" s="63"/>
      <c r="AR15" s="70" t="s">
        <v>67</v>
      </c>
      <c r="AS15" s="36"/>
      <c r="AT15" s="29" t="s">
        <v>65</v>
      </c>
      <c r="AU15" s="29" t="s">
        <v>66</v>
      </c>
      <c r="AV15" s="29" t="s">
        <v>86</v>
      </c>
      <c r="AW15" s="29" t="s">
        <v>87</v>
      </c>
      <c r="AX15" s="29" t="s">
        <v>116</v>
      </c>
      <c r="AY15" s="29" t="s">
        <v>117</v>
      </c>
      <c r="AZ15" s="29" t="s">
        <v>131</v>
      </c>
      <c r="BA15" s="29" t="s">
        <v>132</v>
      </c>
      <c r="BB15" s="29" t="s">
        <v>120</v>
      </c>
      <c r="BC15" s="29" t="s">
        <v>121</v>
      </c>
      <c r="BD15" s="29" t="s">
        <v>122</v>
      </c>
      <c r="BE15" s="29" t="s">
        <v>133</v>
      </c>
      <c r="BF15" s="29" t="s">
        <v>134</v>
      </c>
      <c r="BG15" s="29" t="s">
        <v>68</v>
      </c>
      <c r="BH15" s="29" t="s">
        <v>135</v>
      </c>
      <c r="BI15" s="29" t="s">
        <v>136</v>
      </c>
      <c r="BJ15" s="29" t="s">
        <v>52</v>
      </c>
      <c r="BK15" s="50" t="s">
        <v>116</v>
      </c>
      <c r="BL15" s="51" t="s">
        <v>117</v>
      </c>
      <c r="BM15" s="51" t="s">
        <v>131</v>
      </c>
      <c r="BN15" s="51" t="s">
        <v>132</v>
      </c>
      <c r="BO15" s="51" t="s">
        <v>120</v>
      </c>
      <c r="BP15" s="51" t="s">
        <v>121</v>
      </c>
      <c r="BQ15" s="51" t="s">
        <v>122</v>
      </c>
      <c r="BR15" s="51" t="s">
        <v>133</v>
      </c>
      <c r="BS15" s="51" t="s">
        <v>134</v>
      </c>
      <c r="BT15" s="51" t="s">
        <v>68</v>
      </c>
      <c r="BU15" s="51" t="s">
        <v>135</v>
      </c>
      <c r="BV15" s="52" t="s">
        <v>136</v>
      </c>
      <c r="BX15" s="29" t="s">
        <v>116</v>
      </c>
      <c r="BY15" s="29" t="s">
        <v>117</v>
      </c>
      <c r="BZ15" s="29" t="s">
        <v>131</v>
      </c>
      <c r="CA15" s="29" t="s">
        <v>132</v>
      </c>
      <c r="CB15" s="29" t="s">
        <v>120</v>
      </c>
      <c r="CC15" s="29" t="s">
        <v>121</v>
      </c>
      <c r="CD15" s="29" t="s">
        <v>122</v>
      </c>
      <c r="CE15" s="29" t="s">
        <v>133</v>
      </c>
      <c r="CF15" s="29" t="s">
        <v>134</v>
      </c>
      <c r="CG15" s="29" t="s">
        <v>68</v>
      </c>
      <c r="CH15" s="29" t="s">
        <v>135</v>
      </c>
      <c r="CI15" s="29" t="s">
        <v>69</v>
      </c>
      <c r="CK15" s="29" t="s">
        <v>70</v>
      </c>
      <c r="CM15" s="29" t="s">
        <v>116</v>
      </c>
      <c r="CN15" s="29" t="s">
        <v>117</v>
      </c>
      <c r="CO15" s="29" t="s">
        <v>131</v>
      </c>
      <c r="CP15" s="29" t="s">
        <v>132</v>
      </c>
      <c r="CQ15" s="29" t="s">
        <v>120</v>
      </c>
      <c r="CR15" s="29" t="s">
        <v>121</v>
      </c>
      <c r="CS15" s="29" t="s">
        <v>122</v>
      </c>
      <c r="CT15" s="29" t="s">
        <v>133</v>
      </c>
      <c r="CU15" s="29" t="s">
        <v>134</v>
      </c>
      <c r="CV15" s="29" t="s">
        <v>68</v>
      </c>
      <c r="CW15" s="29" t="s">
        <v>135</v>
      </c>
      <c r="CZ15" s="50" t="s">
        <v>137</v>
      </c>
      <c r="DA15" s="51" t="s">
        <v>138</v>
      </c>
      <c r="DB15" s="51" t="s">
        <v>139</v>
      </c>
      <c r="DC15" s="51" t="s">
        <v>71</v>
      </c>
      <c r="DD15" s="51" t="s">
        <v>72</v>
      </c>
      <c r="DE15" s="51" t="s">
        <v>73</v>
      </c>
      <c r="DF15" s="51" t="s">
        <v>41</v>
      </c>
      <c r="DG15" s="51" t="s">
        <v>140</v>
      </c>
      <c r="DH15" s="51" t="s">
        <v>141</v>
      </c>
      <c r="DI15" s="51" t="s">
        <v>142</v>
      </c>
      <c r="DJ15" s="51" t="s">
        <v>143</v>
      </c>
      <c r="DK15" s="51" t="s">
        <v>0</v>
      </c>
      <c r="DL15" s="51" t="s">
        <v>1</v>
      </c>
      <c r="DM15" s="52" t="s">
        <v>2</v>
      </c>
      <c r="DN15" s="29" t="s">
        <v>74</v>
      </c>
      <c r="DP15" s="50" t="s">
        <v>75</v>
      </c>
      <c r="DQ15" s="51" t="s">
        <v>76</v>
      </c>
      <c r="DR15" s="51" t="s">
        <v>77</v>
      </c>
      <c r="DS15" s="51" t="s">
        <v>78</v>
      </c>
      <c r="DT15" s="51" t="s">
        <v>79</v>
      </c>
      <c r="DU15" s="52" t="s">
        <v>80</v>
      </c>
      <c r="DV15" s="55" t="s">
        <v>10</v>
      </c>
      <c r="DW15" s="29" t="s">
        <v>81</v>
      </c>
      <c r="DX15" s="29" t="s">
        <v>98</v>
      </c>
      <c r="EA15" s="29" t="s">
        <v>99</v>
      </c>
      <c r="EB15" s="29" t="s">
        <v>100</v>
      </c>
      <c r="EC15" s="29" t="s">
        <v>101</v>
      </c>
      <c r="ED15" s="29" t="s">
        <v>102</v>
      </c>
      <c r="EE15" s="29" t="s">
        <v>103</v>
      </c>
      <c r="EF15" s="29" t="s">
        <v>104</v>
      </c>
      <c r="EG15" s="29" t="s">
        <v>105</v>
      </c>
      <c r="EH15" s="29" t="s">
        <v>106</v>
      </c>
      <c r="EK15" s="29" t="s">
        <v>78</v>
      </c>
      <c r="EM15" s="29" t="s">
        <v>63</v>
      </c>
      <c r="EO15" s="29" t="s">
        <v>63</v>
      </c>
      <c r="EP15" s="29" t="s">
        <v>107</v>
      </c>
      <c r="EQ15" s="29" t="s">
        <v>108</v>
      </c>
    </row>
    <row r="16" spans="1:147" s="29" customFormat="1" ht="12.75">
      <c r="A16" s="29" t="s">
        <v>109</v>
      </c>
      <c r="B16" s="29" t="s">
        <v>110</v>
      </c>
      <c r="C16" s="30">
        <v>1</v>
      </c>
      <c r="D16" s="37">
        <v>1160</v>
      </c>
      <c r="F16" s="38">
        <v>4066</v>
      </c>
      <c r="G16" s="30">
        <v>49.6</v>
      </c>
      <c r="H16" s="30">
        <v>3.79</v>
      </c>
      <c r="I16" s="30">
        <v>15.8</v>
      </c>
      <c r="J16" s="30">
        <v>13</v>
      </c>
      <c r="K16" s="30">
        <v>0.14</v>
      </c>
      <c r="L16" s="30">
        <v>4.26</v>
      </c>
      <c r="M16" s="30">
        <v>6.59</v>
      </c>
      <c r="N16" s="30">
        <v>3.65</v>
      </c>
      <c r="O16" s="30">
        <v>1.04</v>
      </c>
      <c r="P16" s="30">
        <v>0</v>
      </c>
      <c r="Q16" s="30">
        <v>0</v>
      </c>
      <c r="R16" s="30">
        <v>0.63</v>
      </c>
      <c r="S16" s="30">
        <v>0</v>
      </c>
      <c r="T16" s="29">
        <f>SUM(G16:R16)</f>
        <v>98.50000000000001</v>
      </c>
      <c r="V16" s="30">
        <v>51.3</v>
      </c>
      <c r="W16" s="30">
        <v>0.93</v>
      </c>
      <c r="X16" s="30">
        <v>5.28</v>
      </c>
      <c r="Y16" s="30">
        <v>18.6</v>
      </c>
      <c r="Z16" s="30">
        <v>0.24</v>
      </c>
      <c r="AA16" s="30">
        <v>22</v>
      </c>
      <c r="AB16" s="30">
        <v>2.21</v>
      </c>
      <c r="AC16" s="30">
        <v>0.29</v>
      </c>
      <c r="AD16" s="30">
        <v>0</v>
      </c>
      <c r="AE16" s="30">
        <v>0</v>
      </c>
      <c r="AF16" s="30">
        <v>0.05</v>
      </c>
      <c r="AG16" s="30">
        <v>0</v>
      </c>
      <c r="AH16" s="29">
        <f>SUM(V16:AG16)</f>
        <v>100.89999999999999</v>
      </c>
      <c r="AJ16" s="40">
        <f>EG16-273.15</f>
        <v>1194.076743551861</v>
      </c>
      <c r="AK16" s="41">
        <f aca="true" t="shared" si="0" ref="AK16:AK29">10^4/(4.07-0.329*C16+0.12*S16+0.567*DW16-3.06*BP16-6.17*BS16+1.89*BP16/(BP16+BN16)+2.57*DF16)</f>
        <v>1194.5359804121308</v>
      </c>
      <c r="AL16" s="40">
        <f aca="true" t="shared" si="1" ref="AL16:AL29">(5573.8+587.9*C16-61*C16^2)/(5.3-0.633*LN(EP16)-3.97*EB16+0.06*EC16+24.7*BQ16^2+0.081*S16+0.156*C16)</f>
        <v>1169.2138164834737</v>
      </c>
      <c r="AN16" s="40">
        <f aca="true" t="shared" si="2" ref="AN16:AN29">(-13.97+0.0129*AK16-19.64*BK16+47.49*BP16+6.99*DF16+37.37*DS16+0.748*S16+79.67*(BR16+BS16)+0.001416*AK16*LN(DP16/(BK16^2*BM16*BR16)))/10</f>
        <v>1.1567176527009675</v>
      </c>
      <c r="AO16" s="40">
        <f aca="true" t="shared" si="3" ref="AO16:AO29">(1.788+0.0375*AK16+0.001295*AK16*DX16-33.42*BM16+9.795*BP16/(BP16+BN16)-26.2*CZ16+14.21*DF16+36.08*(BR16+BS16)+0.784*S16)/10</f>
        <v>1.143068284125361</v>
      </c>
      <c r="AP16" s="40">
        <f aca="true" t="shared" si="4" ref="AP16:AP29">(2064+0.321*AK16-343.4*LN(AK16)+31.52*DB16-12.28*DI16-290*DM16-177.2*(DB16-0.1715)^2-372*(DB16-0.1715)*(DI16-0.0736)+1.54*LN(DM16))/10</f>
        <v>0.9073323241320196</v>
      </c>
      <c r="AQ16" s="64"/>
      <c r="AR16" s="71">
        <f aca="true" t="shared" si="5" ref="AR16:AR29">AT16/AU16</f>
        <v>0.27704895104895105</v>
      </c>
      <c r="AT16" s="29">
        <f aca="true" t="shared" si="6" ref="AT16:AT29">(Y16/71.85)/(AA16/40.3)</f>
        <v>0.47420762953122036</v>
      </c>
      <c r="AU16" s="29">
        <f aca="true" t="shared" si="7" ref="AU16:AU29">(J16/71.85)/(L16/40.3)</f>
        <v>1.7116384225090746</v>
      </c>
      <c r="AV16" s="29">
        <f>100*(BC16/(BC16+BA16))</f>
        <v>36.878073112517036</v>
      </c>
      <c r="AW16" s="29">
        <f>100*(CC16/(CC16+CA16))</f>
        <v>67.83305010556671</v>
      </c>
      <c r="AX16" s="29">
        <f aca="true" t="shared" si="8" ref="AX16:AX29">G16/AX$11</f>
        <v>0.8255659121171771</v>
      </c>
      <c r="AY16" s="29">
        <f aca="true" t="shared" si="9" ref="AY16:AY29">H16/AY$11</f>
        <v>0.0474342928660826</v>
      </c>
      <c r="AZ16" s="29">
        <f aca="true" t="shared" si="10" ref="AZ16:AZ29">I16/AZ$11</f>
        <v>0.3099254609650844</v>
      </c>
      <c r="BA16" s="29">
        <f aca="true" t="shared" si="11" ref="BA16:BA29">J16/BA$11</f>
        <v>0.18093249826026445</v>
      </c>
      <c r="BB16" s="29">
        <f aca="true" t="shared" si="12" ref="BB16:BB29">K16/BB$11</f>
        <v>0.0019734987313222443</v>
      </c>
      <c r="BC16" s="29">
        <f aca="true" t="shared" si="13" ref="BC16:BC29">L16/BC$11</f>
        <v>0.10570719602977667</v>
      </c>
      <c r="BD16" s="29">
        <f aca="true" t="shared" si="14" ref="BD16:BD29">M16/BD$11</f>
        <v>0.11751069900142654</v>
      </c>
      <c r="BE16" s="29">
        <f aca="true" t="shared" si="15" ref="BE16:BE29">N16/BE$11</f>
        <v>0.11777992900935787</v>
      </c>
      <c r="BF16" s="29">
        <f aca="true" t="shared" si="16" ref="BF16:BF29">O16/BF$11</f>
        <v>0.02208067940552017</v>
      </c>
      <c r="BG16" s="29">
        <f aca="true" t="shared" si="17" ref="BG16:BG29">P16/BG$11</f>
        <v>0</v>
      </c>
      <c r="BH16" s="29">
        <f aca="true" t="shared" si="18" ref="BH16:BH29">Q16/BH$11</f>
        <v>0</v>
      </c>
      <c r="BI16" s="29">
        <f aca="true" t="shared" si="19" ref="BI16:BI29">R16/BI$11</f>
        <v>0.0044385889514362</v>
      </c>
      <c r="BJ16" s="29">
        <f>SUM(AX16:BI16)</f>
        <v>1.7333487553374483</v>
      </c>
      <c r="BK16" s="29">
        <f aca="true" t="shared" si="20" ref="BK16:BV16">AX16/$BJ16</f>
        <v>0.4762837885769018</v>
      </c>
      <c r="BL16" s="29">
        <f t="shared" si="20"/>
        <v>0.027365694710899707</v>
      </c>
      <c r="BM16" s="29">
        <f t="shared" si="20"/>
        <v>0.17880155970386244</v>
      </c>
      <c r="BN16" s="29">
        <f t="shared" si="20"/>
        <v>0.10438320488195148</v>
      </c>
      <c r="BO16" s="29">
        <f t="shared" si="20"/>
        <v>0.001138546830374043</v>
      </c>
      <c r="BP16" s="29">
        <f t="shared" si="20"/>
        <v>0.06098437818948767</v>
      </c>
      <c r="BQ16" s="29">
        <f t="shared" si="20"/>
        <v>0.06779403085477138</v>
      </c>
      <c r="BR16" s="29">
        <f t="shared" si="20"/>
        <v>0.06794935447738472</v>
      </c>
      <c r="BS16" s="29">
        <f t="shared" si="20"/>
        <v>0.012738740162663631</v>
      </c>
      <c r="BT16" s="29">
        <f t="shared" si="20"/>
        <v>0</v>
      </c>
      <c r="BU16" s="29">
        <f t="shared" si="20"/>
        <v>0</v>
      </c>
      <c r="BV16" s="29">
        <f t="shared" si="20"/>
        <v>0.0025607016117031194</v>
      </c>
      <c r="BW16" s="29">
        <f>SUM(BK16:BV16)</f>
        <v>1</v>
      </c>
      <c r="BX16" s="29">
        <f aca="true" t="shared" si="21" ref="BX16:BX29">V16/BX$11</f>
        <v>0.8538615179760319</v>
      </c>
      <c r="BY16" s="29">
        <f aca="true" t="shared" si="22" ref="BY16:BY29">W16/BY$11</f>
        <v>0.011639549436795994</v>
      </c>
      <c r="BZ16" s="29">
        <f aca="true" t="shared" si="23" ref="BZ16:BZ29">X16/BZ$11</f>
        <v>0.05178501373087486</v>
      </c>
      <c r="CA16" s="29">
        <f aca="true" t="shared" si="24" ref="CA16:CA29">Y16/CA$11</f>
        <v>0.2588726513569938</v>
      </c>
      <c r="CB16" s="29">
        <f aca="true" t="shared" si="25" ref="CB16:CB29">Z16/CB$11</f>
        <v>0.0033831406822667043</v>
      </c>
      <c r="CC16" s="29">
        <f aca="true" t="shared" si="26" ref="CC16:CC29">AA16/CC$11</f>
        <v>0.5459057071960298</v>
      </c>
      <c r="CD16" s="29">
        <f aca="true" t="shared" si="27" ref="CD16:CD29">AB16/CD$11</f>
        <v>0.03940798858773181</v>
      </c>
      <c r="CE16" s="29">
        <f aca="true" t="shared" si="28" ref="CE16:CE29">AC16/CE$11</f>
        <v>0.00467892868667312</v>
      </c>
      <c r="CF16" s="29">
        <f aca="true" t="shared" si="29" ref="CF16:CF29">AD16/CF$11</f>
        <v>0</v>
      </c>
      <c r="CG16" s="29">
        <f aca="true" t="shared" si="30" ref="CG16:CG29">AE16/CG$11</f>
        <v>0</v>
      </c>
      <c r="CH16" s="29">
        <f aca="true" t="shared" si="31" ref="CH16:CH29">AF16/CH$11</f>
        <v>0.0003289512638965462</v>
      </c>
      <c r="CI16" s="29">
        <f aca="true" t="shared" si="32" ref="CI16:CI29">SUM(BX16:CH16)</f>
        <v>1.7698634489172946</v>
      </c>
      <c r="CK16" s="29">
        <f aca="true" t="shared" si="33" ref="CK16:CK29">CC16/(CC16+CA16+CB16+CD16+CE16+CH16)</f>
        <v>0.6403004909942661</v>
      </c>
      <c r="CM16" s="29">
        <f aca="true" t="shared" si="34" ref="CM16:CN18">2*BX16</f>
        <v>1.7077230359520639</v>
      </c>
      <c r="CN16" s="29">
        <f t="shared" si="34"/>
        <v>0.02327909887359199</v>
      </c>
      <c r="CO16" s="29">
        <f aca="true" t="shared" si="35" ref="CO16:CO29">3*BZ16</f>
        <v>0.15535504119262458</v>
      </c>
      <c r="CP16" s="29">
        <f aca="true" t="shared" si="36" ref="CP16:CV18">CA16</f>
        <v>0.2588726513569938</v>
      </c>
      <c r="CQ16" s="29">
        <f t="shared" si="36"/>
        <v>0.0033831406822667043</v>
      </c>
      <c r="CR16" s="29">
        <f t="shared" si="36"/>
        <v>0.5459057071960298</v>
      </c>
      <c r="CS16" s="29">
        <f t="shared" si="36"/>
        <v>0.03940798858773181</v>
      </c>
      <c r="CT16" s="29">
        <f t="shared" si="36"/>
        <v>0.00467892868667312</v>
      </c>
      <c r="CU16" s="29">
        <f t="shared" si="36"/>
        <v>0</v>
      </c>
      <c r="CV16" s="29">
        <f t="shared" si="36"/>
        <v>0</v>
      </c>
      <c r="CW16" s="29">
        <f aca="true" t="shared" si="37" ref="CW16:CW29">3*CH16</f>
        <v>0.0009868537916896385</v>
      </c>
      <c r="CX16" s="29">
        <f aca="true" t="shared" si="38" ref="CX16:CX29">SUM(CM16:CW16)</f>
        <v>2.7395924463196653</v>
      </c>
      <c r="CY16" s="29">
        <f aca="true" t="shared" si="39" ref="CY16:CY29">6/CX16</f>
        <v>2.190106783240816</v>
      </c>
      <c r="CZ16" s="29">
        <f aca="true" t="shared" si="40" ref="CZ16:CZ29">BX16*$CY16</f>
        <v>1.8700479024676073</v>
      </c>
      <c r="DA16" s="29">
        <f aca="true" t="shared" si="41" ref="DA16:DA29">BY16*$CY16</f>
        <v>0.025491856175393724</v>
      </c>
      <c r="DB16" s="29">
        <f aca="true" t="shared" si="42" ref="DB16:DB29">BZ16*$CY16*2</f>
        <v>0.22682941968441564</v>
      </c>
      <c r="DC16" s="29">
        <f aca="true" t="shared" si="43" ref="DC16:DC29">DA16+CZ16</f>
        <v>1.895539758643001</v>
      </c>
      <c r="DD16" s="29">
        <f aca="true" t="shared" si="44" ref="DD16:DD29">IF(CZ16&lt;2,2-CZ16,0)</f>
        <v>0.12995209753239267</v>
      </c>
      <c r="DE16" s="29">
        <f aca="true" t="shared" si="45" ref="DE16:DE29">DB16-DD16</f>
        <v>0.09687732215202297</v>
      </c>
      <c r="DF16" s="29">
        <f aca="true" t="shared" si="46" ref="DF16:DF29">CA16*$CY16</f>
        <v>0.5669587497324868</v>
      </c>
      <c r="DG16" s="29">
        <f aca="true" t="shared" si="47" ref="DG16:DG29">CB16*$CY16</f>
        <v>0.007409439356890271</v>
      </c>
      <c r="DH16" s="29">
        <f aca="true" t="shared" si="48" ref="DH16:DH29">CC16*$CY16</f>
        <v>1.1955917923398995</v>
      </c>
      <c r="DI16" s="29">
        <f aca="true" t="shared" si="49" ref="DI16:DI29">CD16*$CY16</f>
        <v>0.0863077031198681</v>
      </c>
      <c r="DJ16" s="29">
        <f aca="true" t="shared" si="50" ref="DJ16:DJ29">CE16*$CY16*2</f>
        <v>0.020494706909965684</v>
      </c>
      <c r="DK16" s="29">
        <f aca="true" t="shared" si="51" ref="DK16:DK29">CF16*$CY16*2</f>
        <v>0</v>
      </c>
      <c r="DL16" s="29">
        <f aca="true" t="shared" si="52" ref="DL16:DL29">CG16*$CY16</f>
        <v>0</v>
      </c>
      <c r="DM16" s="29">
        <f aca="true" t="shared" si="53" ref="DM16:DM29">CH16*$CY16*2</f>
        <v>0.001440876788830931</v>
      </c>
      <c r="DN16" s="31">
        <f aca="true" t="shared" si="54" ref="DN16:DN29">DM16+DL16+DK16+DJ16+DI16+DH16+DG16+DF16+DB16+DA16+CZ16</f>
        <v>4.000572446575358</v>
      </c>
      <c r="DP16" s="29">
        <f aca="true" t="shared" si="55" ref="DP16:DP29">DJ16</f>
        <v>0.020494706909965684</v>
      </c>
      <c r="DQ16" s="29">
        <f aca="true" t="shared" si="56" ref="DQ16:DQ29">DA16</f>
        <v>0.025491856175393724</v>
      </c>
      <c r="DR16" s="29">
        <f aca="true" t="shared" si="57" ref="DR16:DR29">DM16</f>
        <v>0.001440876788830931</v>
      </c>
      <c r="DS16" s="31">
        <f aca="true" t="shared" si="58" ref="DS16:DS29">IF((DE16-DP16-DR16)&gt;0,(DE16-DP16-DR16),0)</f>
        <v>0.07494173845322635</v>
      </c>
      <c r="DT16" s="29">
        <f aca="true" t="shared" si="59" ref="DT16:DT29">DI16</f>
        <v>0.0863077031198681</v>
      </c>
      <c r="DU16" s="29">
        <f aca="true" t="shared" si="60" ref="DU16:DU29">((DF16+DH16+DG16)-DQ16-DS16-DT16)/2</f>
        <v>0.7916093418403943</v>
      </c>
      <c r="DV16" s="29">
        <f aca="true" t="shared" si="61" ref="DV16:DV29">SUM(DP16:DU16)</f>
        <v>1.000286223287679</v>
      </c>
      <c r="DW16" s="29">
        <f aca="true" t="shared" si="62" ref="DW16:DW29">LN(DU16/(BK16^2*(BN16+BO16+BP16)^2))</f>
        <v>4.835241859743848</v>
      </c>
      <c r="DX16" s="29">
        <f aca="true" t="shared" si="63" ref="DX16:DX29">LN(DS16/(BK16*BM16^2*(BN16+BO16+BP16)))</f>
        <v>3.3863776601856346</v>
      </c>
      <c r="EA16" s="29">
        <f aca="true" t="shared" si="64" ref="EA16:EA29">BK16</f>
        <v>0.4762837885769018</v>
      </c>
      <c r="EB16" s="29">
        <f aca="true" t="shared" si="65" ref="EB16:EB29">BP16+BN16+BQ16+BO16</f>
        <v>0.23430016075658458</v>
      </c>
      <c r="EC16" s="29">
        <f aca="true" t="shared" si="66" ref="EC16:EC29">(7/2)*LN(1-BM16)+7*LN(1-BL16)</f>
        <v>-0.883696495280526</v>
      </c>
      <c r="ED16" s="29">
        <f aca="true" t="shared" si="67" ref="ED16:ED29">(0.5-(-0.089*BQ16-0.025*BO16+0.129*BN16))/(BP16+0.072*BQ16+0.352*BO16+0.264*BN16)</f>
        <v>5.250249546483331</v>
      </c>
      <c r="EE16" s="29">
        <f>125.9*1000/8.3144+(C16*10^9-10^5)*6.5*(10^-6)/8.3144</f>
        <v>15924.101558741462</v>
      </c>
      <c r="EF16" s="29">
        <f>67.92/8.3144+2*LN(ED16)+2*LN(2*EB16)-EC16</f>
        <v>10.853197454806756</v>
      </c>
      <c r="EG16" s="29">
        <f>EE16/EF16</f>
        <v>1467.226743551861</v>
      </c>
      <c r="EH16" s="29">
        <f aca="true" t="shared" si="68" ref="EH16:EH29">D16</f>
        <v>1160</v>
      </c>
      <c r="EI16" s="29">
        <f aca="true" t="shared" si="69" ref="EI16:EI29">1/(0.000407-0.0000329*C16+0.00001202*S16+0.000056662*DW16-0.000306214*BP16-0.0006176*BS16+0.00018946*BP16/(BP16+BN16)+0.00025746*DF16)</f>
        <v>1194.2135743025644</v>
      </c>
      <c r="EK16" s="29">
        <f aca="true" t="shared" si="70" ref="EK16:EK29">0.1788+0.00375*EH16+0.0001295*EH16*DX16-3.3424*BM16+0.9795*BP16/(BP16+BN16)-2.622*CZ16+1.4215*DF16+3.608*(BR16+BS16)+0.0784*S16</f>
        <v>0.9948849530319597</v>
      </c>
      <c r="EL16" s="29">
        <f aca="true" t="shared" si="71" ref="EL16:EL29">C16</f>
        <v>1</v>
      </c>
      <c r="EM16" s="31">
        <f aca="true" t="shared" si="72" ref="EM16:EM29">2064.1+0.321*EH16-343.4*LN(EH16)+31.52*DB16-12.28*DI16-290*DM16+1.54*LN(DM16)-177.2*(DB16-0.1715)^2-372*(DB16-0.1715)*(DI16-0.0736)</f>
        <v>8.161875404264064</v>
      </c>
      <c r="EN16" s="31">
        <f aca="true" t="shared" si="73" ref="EN16:EN29">2064.1+31.52*DB16-12.28*DI16-289.6*DM16+1.544*LN(DM16)-177.24*(DB16-0.17145)^2-371.87*(DB16-0.17145)*(DI16-0.07365)+0.321067*D16-343.43*LN(D16)</f>
        <v>8.002097747897096</v>
      </c>
      <c r="EO16" s="31">
        <f aca="true" t="shared" si="74" ref="EO16:EO29">3188.6+0.381*(273.15+EH16)-512.2*LN(EH16+273.15)-32.048*DB16-11.88*DI16-281*DM16-178*(DB16-0.1715)^2-363*(DB16-0.1715)*(DI16-0.0736)</f>
        <v>2.650214520267586</v>
      </c>
      <c r="EP16" s="31">
        <f aca="true" t="shared" si="75" ref="EP16:EP29">BP16/(BP16+BN16)</f>
        <v>0.36878073112517035</v>
      </c>
      <c r="EQ16" s="31">
        <f aca="true" t="shared" si="76" ref="EQ16:EQ29">(5573.8+587.9*C16-61*C16^2)/(5.3-0.633*LN(EP16)-3.97*EB16+0.06*EC16+24.7*BQ16^2+0.081*S16+0.156*C16)</f>
        <v>1169.2138164834737</v>
      </c>
    </row>
    <row r="17" spans="1:147" s="29" customFormat="1" ht="12.75">
      <c r="A17" s="29" t="s">
        <v>109</v>
      </c>
      <c r="B17" s="29" t="s">
        <v>111</v>
      </c>
      <c r="C17" s="30">
        <v>0.7</v>
      </c>
      <c r="D17" s="37">
        <v>1120</v>
      </c>
      <c r="F17" s="38">
        <v>4061</v>
      </c>
      <c r="G17" s="30">
        <v>48.1</v>
      </c>
      <c r="H17" s="30">
        <v>3.88</v>
      </c>
      <c r="I17" s="30">
        <v>13.2</v>
      </c>
      <c r="J17" s="30">
        <v>16.4</v>
      </c>
      <c r="K17" s="30">
        <v>0.16</v>
      </c>
      <c r="L17" s="30">
        <v>4.02</v>
      </c>
      <c r="M17" s="30">
        <v>6.51</v>
      </c>
      <c r="N17" s="30">
        <v>3.36</v>
      </c>
      <c r="O17" s="30">
        <v>1.36</v>
      </c>
      <c r="P17" s="30">
        <v>0</v>
      </c>
      <c r="Q17" s="30">
        <v>0</v>
      </c>
      <c r="R17" s="30">
        <v>1.59</v>
      </c>
      <c r="S17" s="30">
        <v>0</v>
      </c>
      <c r="T17" s="29">
        <f aca="true" t="shared" si="77" ref="T17:T29">SUM(G17:R17)</f>
        <v>98.58000000000001</v>
      </c>
      <c r="V17" s="30">
        <v>52.5</v>
      </c>
      <c r="W17" s="30">
        <v>0.68</v>
      </c>
      <c r="X17" s="30">
        <v>2.16</v>
      </c>
      <c r="Y17" s="30">
        <v>19.9</v>
      </c>
      <c r="Z17" s="30">
        <v>0.25</v>
      </c>
      <c r="AA17" s="30">
        <v>22.8</v>
      </c>
      <c r="AB17" s="30">
        <v>1.66</v>
      </c>
      <c r="AC17" s="30">
        <v>0.05</v>
      </c>
      <c r="AD17" s="30">
        <v>0</v>
      </c>
      <c r="AE17" s="30">
        <v>0</v>
      </c>
      <c r="AF17" s="30">
        <v>0.01</v>
      </c>
      <c r="AG17" s="30">
        <v>0</v>
      </c>
      <c r="AH17" s="29">
        <f aca="true" t="shared" si="78" ref="AH17:AH29">SUM(V17:AG17)</f>
        <v>100.01</v>
      </c>
      <c r="AJ17" s="40">
        <f aca="true" t="shared" si="79" ref="AJ17:AJ29">EG17-273.15</f>
        <v>1173.7041715588343</v>
      </c>
      <c r="AK17" s="41">
        <f t="shared" si="0"/>
        <v>1197.0064684497063</v>
      </c>
      <c r="AL17" s="40">
        <f t="shared" si="1"/>
        <v>1147.45632235104</v>
      </c>
      <c r="AN17" s="40">
        <f t="shared" si="2"/>
        <v>0.7666724922336273</v>
      </c>
      <c r="AO17" s="40">
        <f t="shared" si="3"/>
        <v>0.9456974184633833</v>
      </c>
      <c r="AP17" s="40">
        <f t="shared" si="4"/>
        <v>0.26071600501562175</v>
      </c>
      <c r="AQ17" s="64"/>
      <c r="AR17" s="71">
        <f t="shared" si="5"/>
        <v>0.21394415917843385</v>
      </c>
      <c r="AT17" s="29">
        <f t="shared" si="6"/>
        <v>0.489549377968233</v>
      </c>
      <c r="AU17" s="29">
        <f t="shared" si="7"/>
        <v>2.288210997898469</v>
      </c>
      <c r="AV17" s="29">
        <f aca="true" t="shared" si="80" ref="AV17:AV29">100*(BC17/(BC17+BA17))</f>
        <v>30.41167372285753</v>
      </c>
      <c r="AW17" s="29">
        <f aca="true" t="shared" si="81" ref="AW17:AW29">100*(CC17/(CC17+CA17))</f>
        <v>67.13439747556504</v>
      </c>
      <c r="AX17" s="29">
        <f t="shared" si="8"/>
        <v>0.8005992010652464</v>
      </c>
      <c r="AY17" s="29">
        <f t="shared" si="9"/>
        <v>0.04856070087609511</v>
      </c>
      <c r="AZ17" s="29">
        <f t="shared" si="10"/>
        <v>0.25892506865437426</v>
      </c>
      <c r="BA17" s="29">
        <f t="shared" si="11"/>
        <v>0.22825330549756437</v>
      </c>
      <c r="BB17" s="29">
        <f t="shared" si="12"/>
        <v>0.002255427121511136</v>
      </c>
      <c r="BC17" s="29">
        <f t="shared" si="13"/>
        <v>0.09975186104218361</v>
      </c>
      <c r="BD17" s="29">
        <f t="shared" si="14"/>
        <v>0.11608416547788873</v>
      </c>
      <c r="BE17" s="29">
        <f t="shared" si="15"/>
        <v>0.10842207163601161</v>
      </c>
      <c r="BF17" s="29">
        <f t="shared" si="16"/>
        <v>0.028874734607218684</v>
      </c>
      <c r="BG17" s="29">
        <f t="shared" si="17"/>
        <v>0</v>
      </c>
      <c r="BH17" s="29">
        <f t="shared" si="18"/>
        <v>0</v>
      </c>
      <c r="BI17" s="29">
        <f t="shared" si="19"/>
        <v>0.011202153067910411</v>
      </c>
      <c r="BJ17" s="29">
        <f aca="true" t="shared" si="82" ref="BJ17:BJ29">SUM(AX17:BI17)</f>
        <v>1.7029286890460045</v>
      </c>
      <c r="BK17" s="29">
        <f aca="true" t="shared" si="83" ref="BK17:BK29">AX17/$BJ17</f>
        <v>0.47013078481504067</v>
      </c>
      <c r="BL17" s="29">
        <f aca="true" t="shared" si="84" ref="BL17:BL29">AY17/$BJ17</f>
        <v>0.028515992001578904</v>
      </c>
      <c r="BM17" s="29">
        <f aca="true" t="shared" si="85" ref="BM17:BM29">AZ17/$BJ17</f>
        <v>0.15204692382006105</v>
      </c>
      <c r="BN17" s="29">
        <f aca="true" t="shared" si="86" ref="BN17:BN29">BA17/$BJ17</f>
        <v>0.13403573911567246</v>
      </c>
      <c r="BO17" s="29">
        <f aca="true" t="shared" si="87" ref="BO17:BO29">BB17/$BJ17</f>
        <v>0.0013244401459785414</v>
      </c>
      <c r="BP17" s="29">
        <f aca="true" t="shared" si="88" ref="BP17:BP29">BC17/$BJ17</f>
        <v>0.058576651907876115</v>
      </c>
      <c r="BQ17" s="29">
        <f aca="true" t="shared" si="89" ref="BQ17:BQ29">BD17/$BJ17</f>
        <v>0.06816736732700186</v>
      </c>
      <c r="BR17" s="29">
        <f aca="true" t="shared" si="90" ref="BR17:BR29">BE17/$BJ17</f>
        <v>0.06366800461665285</v>
      </c>
      <c r="BS17" s="29">
        <f aca="true" t="shared" si="91" ref="BS17:BS29">BF17/$BJ17</f>
        <v>0.016955927040840778</v>
      </c>
      <c r="BT17" s="29">
        <f aca="true" t="shared" si="92" ref="BT17:BT29">BG17/$BJ17</f>
        <v>0</v>
      </c>
      <c r="BU17" s="29">
        <f aca="true" t="shared" si="93" ref="BU17:BU29">BH17/$BJ17</f>
        <v>0</v>
      </c>
      <c r="BV17" s="29">
        <f aca="true" t="shared" si="94" ref="BV17:BV29">BI17/$BJ17</f>
        <v>0.006578169209296694</v>
      </c>
      <c r="BW17" s="29">
        <f aca="true" t="shared" si="95" ref="BW17:BW29">SUM(BK17:BV17)</f>
        <v>1</v>
      </c>
      <c r="BX17" s="29">
        <f t="shared" si="21"/>
        <v>0.8738348868175766</v>
      </c>
      <c r="BY17" s="29">
        <f t="shared" si="22"/>
        <v>0.00851063829787234</v>
      </c>
      <c r="BZ17" s="29">
        <f t="shared" si="23"/>
        <v>0.021184778344448808</v>
      </c>
      <c r="CA17" s="29">
        <f t="shared" si="24"/>
        <v>0.27696590118302017</v>
      </c>
      <c r="CB17" s="29">
        <f t="shared" si="25"/>
        <v>0.0035241048773611504</v>
      </c>
      <c r="CC17" s="29">
        <f t="shared" si="26"/>
        <v>0.56575682382134</v>
      </c>
      <c r="CD17" s="29">
        <f t="shared" si="27"/>
        <v>0.029600570613409413</v>
      </c>
      <c r="CE17" s="29">
        <f t="shared" si="28"/>
        <v>0.0008067118425298484</v>
      </c>
      <c r="CF17" s="29">
        <f t="shared" si="29"/>
        <v>0</v>
      </c>
      <c r="CG17" s="29">
        <f t="shared" si="30"/>
        <v>0</v>
      </c>
      <c r="CH17" s="29">
        <f t="shared" si="31"/>
        <v>6.579025277930924E-05</v>
      </c>
      <c r="CI17" s="29">
        <f t="shared" si="32"/>
        <v>1.7802502060503378</v>
      </c>
      <c r="CK17" s="29">
        <f t="shared" si="33"/>
        <v>0.6453108024007453</v>
      </c>
      <c r="CM17" s="29">
        <f t="shared" si="34"/>
        <v>1.7476697736351532</v>
      </c>
      <c r="CN17" s="29">
        <f t="shared" si="34"/>
        <v>0.01702127659574468</v>
      </c>
      <c r="CO17" s="29">
        <f t="shared" si="35"/>
        <v>0.06355433503334643</v>
      </c>
      <c r="CP17" s="29">
        <f t="shared" si="36"/>
        <v>0.27696590118302017</v>
      </c>
      <c r="CQ17" s="29">
        <f t="shared" si="36"/>
        <v>0.0035241048773611504</v>
      </c>
      <c r="CR17" s="29">
        <f t="shared" si="36"/>
        <v>0.56575682382134</v>
      </c>
      <c r="CS17" s="29">
        <f t="shared" si="36"/>
        <v>0.029600570613409413</v>
      </c>
      <c r="CT17" s="29">
        <f t="shared" si="36"/>
        <v>0.0008067118425298484</v>
      </c>
      <c r="CU17" s="29">
        <f t="shared" si="36"/>
        <v>0</v>
      </c>
      <c r="CV17" s="29">
        <f t="shared" si="36"/>
        <v>0</v>
      </c>
      <c r="CW17" s="29">
        <f t="shared" si="37"/>
        <v>0.0001973707583379277</v>
      </c>
      <c r="CX17" s="29">
        <f t="shared" si="38"/>
        <v>2.7050968683602425</v>
      </c>
      <c r="CY17" s="29">
        <f t="shared" si="39"/>
        <v>2.218035172853917</v>
      </c>
      <c r="CZ17" s="29">
        <f t="shared" si="40"/>
        <v>1.9381965142282065</v>
      </c>
      <c r="DA17" s="29">
        <f t="shared" si="41"/>
        <v>0.01887689508811844</v>
      </c>
      <c r="DB17" s="29">
        <f t="shared" si="42"/>
        <v>0.09397716699420286</v>
      </c>
      <c r="DC17" s="29">
        <f t="shared" si="43"/>
        <v>1.957073409316325</v>
      </c>
      <c r="DD17" s="29">
        <f t="shared" si="44"/>
        <v>0.06180348577179351</v>
      </c>
      <c r="DE17" s="29">
        <f t="shared" si="45"/>
        <v>0.03217368122240935</v>
      </c>
      <c r="DF17" s="29">
        <f t="shared" si="46"/>
        <v>0.614320110505121</v>
      </c>
      <c r="DG17" s="29">
        <f t="shared" si="47"/>
        <v>0.007816588570813071</v>
      </c>
      <c r="DH17" s="29">
        <f t="shared" si="48"/>
        <v>1.2548685345178487</v>
      </c>
      <c r="DI17" s="29">
        <f t="shared" si="49"/>
        <v>0.06565510675708812</v>
      </c>
      <c r="DJ17" s="29">
        <f t="shared" si="50"/>
        <v>0.0035786304821779883</v>
      </c>
      <c r="DK17" s="29">
        <f t="shared" si="51"/>
        <v>0</v>
      </c>
      <c r="DL17" s="29">
        <f t="shared" si="52"/>
        <v>0</v>
      </c>
      <c r="DM17" s="29">
        <f t="shared" si="53"/>
        <v>0.0002918501893909161</v>
      </c>
      <c r="DN17" s="31">
        <f t="shared" si="54"/>
        <v>3.9975813973329677</v>
      </c>
      <c r="DP17" s="29">
        <f t="shared" si="55"/>
        <v>0.0035786304821779883</v>
      </c>
      <c r="DQ17" s="29">
        <f t="shared" si="56"/>
        <v>0.01887689508811844</v>
      </c>
      <c r="DR17" s="29">
        <f t="shared" si="57"/>
        <v>0.0002918501893909161</v>
      </c>
      <c r="DS17" s="31">
        <f t="shared" si="58"/>
        <v>0.028303200550840447</v>
      </c>
      <c r="DT17" s="29">
        <f t="shared" si="59"/>
        <v>0.06565510675708812</v>
      </c>
      <c r="DU17" s="29">
        <f t="shared" si="60"/>
        <v>0.882085015598868</v>
      </c>
      <c r="DV17" s="29">
        <f t="shared" si="61"/>
        <v>0.9987906986664838</v>
      </c>
      <c r="DW17" s="29">
        <f t="shared" si="62"/>
        <v>4.66446744773353</v>
      </c>
      <c r="DX17" s="29">
        <f t="shared" si="63"/>
        <v>2.597318948703365</v>
      </c>
      <c r="EA17" s="29">
        <f t="shared" si="64"/>
        <v>0.47013078481504067</v>
      </c>
      <c r="EB17" s="29">
        <f t="shared" si="65"/>
        <v>0.262104198496529</v>
      </c>
      <c r="EC17" s="29">
        <f t="shared" si="66"/>
        <v>-0.7797682280617467</v>
      </c>
      <c r="ED17" s="29">
        <f t="shared" si="67"/>
        <v>4.920750999240326</v>
      </c>
      <c r="EE17" s="29">
        <f aca="true" t="shared" si="96" ref="EE17:EE29">125.9*1000/8.3144+(C17*10^9-10^5)*6.5*(10^-6)/8.3144</f>
        <v>15689.568700086598</v>
      </c>
      <c r="EF17" s="29">
        <f aca="true" t="shared" si="97" ref="EF17:EF29">67.92/8.3144+2*LN(ED17)+2*LN(2*EB17)-EC17</f>
        <v>10.843918487778714</v>
      </c>
      <c r="EG17" s="29">
        <f aca="true" t="shared" si="98" ref="EG17:EG29">EE17/EF17</f>
        <v>1446.8541715588342</v>
      </c>
      <c r="EH17" s="29">
        <f t="shared" si="68"/>
        <v>1120</v>
      </c>
      <c r="EI17" s="29">
        <f t="shared" si="69"/>
        <v>1196.6877180565166</v>
      </c>
      <c r="EK17" s="29">
        <f t="shared" si="70"/>
        <v>0.6273917684560626</v>
      </c>
      <c r="EL17" s="29">
        <f t="shared" si="71"/>
        <v>0.7</v>
      </c>
      <c r="EM17" s="31">
        <f t="shared" si="72"/>
        <v>0.8225165184292785</v>
      </c>
      <c r="EN17" s="31">
        <f t="shared" si="73"/>
        <v>0.6544041404677046</v>
      </c>
      <c r="EO17" s="31">
        <f t="shared" si="74"/>
        <v>6.241998121958539</v>
      </c>
      <c r="EP17" s="31">
        <f t="shared" si="75"/>
        <v>0.3041167372285753</v>
      </c>
      <c r="EQ17" s="31">
        <f t="shared" si="76"/>
        <v>1147.45632235104</v>
      </c>
    </row>
    <row r="18" spans="1:147" s="29" customFormat="1" ht="12.75">
      <c r="A18" s="29" t="s">
        <v>109</v>
      </c>
      <c r="B18" s="29" t="s">
        <v>112</v>
      </c>
      <c r="C18" s="30">
        <v>0.7</v>
      </c>
      <c r="D18" s="37">
        <v>1145</v>
      </c>
      <c r="F18" s="38">
        <v>4060</v>
      </c>
      <c r="G18" s="30">
        <v>47.2</v>
      </c>
      <c r="H18" s="30">
        <v>4.76</v>
      </c>
      <c r="I18" s="30">
        <v>14.3</v>
      </c>
      <c r="J18" s="30">
        <v>15</v>
      </c>
      <c r="K18" s="30">
        <v>0.15</v>
      </c>
      <c r="L18" s="30">
        <v>4.8</v>
      </c>
      <c r="M18" s="30">
        <v>6.61</v>
      </c>
      <c r="N18" s="30">
        <v>3.65</v>
      </c>
      <c r="O18" s="30">
        <v>1.05</v>
      </c>
      <c r="P18" s="30">
        <v>0</v>
      </c>
      <c r="Q18" s="30">
        <v>0</v>
      </c>
      <c r="R18" s="30">
        <v>0.81</v>
      </c>
      <c r="S18" s="30">
        <v>0</v>
      </c>
      <c r="T18" s="29">
        <f t="shared" si="77"/>
        <v>98.33000000000001</v>
      </c>
      <c r="V18" s="30">
        <v>50.2</v>
      </c>
      <c r="W18" s="30">
        <v>1.24</v>
      </c>
      <c r="X18" s="30">
        <v>4.72</v>
      </c>
      <c r="Y18" s="30">
        <v>19.3</v>
      </c>
      <c r="Z18" s="30">
        <v>0.26</v>
      </c>
      <c r="AA18" s="30">
        <v>22.1</v>
      </c>
      <c r="AB18" s="30">
        <v>1.96</v>
      </c>
      <c r="AC18" s="30">
        <v>0.11</v>
      </c>
      <c r="AD18" s="30">
        <v>0</v>
      </c>
      <c r="AE18" s="30">
        <v>0</v>
      </c>
      <c r="AF18" s="30">
        <v>0.05</v>
      </c>
      <c r="AG18" s="30">
        <v>0</v>
      </c>
      <c r="AH18" s="29">
        <f t="shared" si="78"/>
        <v>99.94000000000001</v>
      </c>
      <c r="AJ18" s="40">
        <f t="shared" si="79"/>
        <v>1181.51080782074</v>
      </c>
      <c r="AK18" s="41">
        <f t="shared" si="0"/>
        <v>1187.298527854404</v>
      </c>
      <c r="AL18" s="40">
        <f t="shared" si="1"/>
        <v>1172.3456997241099</v>
      </c>
      <c r="AN18" s="40">
        <f t="shared" si="2"/>
        <v>1.0378335640165521</v>
      </c>
      <c r="AO18" s="40">
        <f t="shared" si="3"/>
        <v>1.2002080615434485</v>
      </c>
      <c r="AP18" s="40">
        <f t="shared" si="4"/>
        <v>0.8839888925919324</v>
      </c>
      <c r="AQ18" s="64"/>
      <c r="AR18" s="71">
        <f t="shared" si="5"/>
        <v>0.27945701357466063</v>
      </c>
      <c r="AT18" s="29">
        <f t="shared" si="6"/>
        <v>0.48982766384215487</v>
      </c>
      <c r="AU18" s="29">
        <f t="shared" si="7"/>
        <v>1.752783576896312</v>
      </c>
      <c r="AV18" s="29">
        <f t="shared" si="80"/>
        <v>36.32686595462302</v>
      </c>
      <c r="AW18" s="29">
        <f t="shared" si="81"/>
        <v>67.12185739799422</v>
      </c>
      <c r="AX18" s="29">
        <f t="shared" si="8"/>
        <v>0.7856191744340879</v>
      </c>
      <c r="AY18" s="29">
        <f t="shared" si="9"/>
        <v>0.05957446808510638</v>
      </c>
      <c r="AZ18" s="29">
        <f t="shared" si="10"/>
        <v>0.28050215770890546</v>
      </c>
      <c r="BA18" s="29">
        <f t="shared" si="11"/>
        <v>0.20876826722338207</v>
      </c>
      <c r="BB18" s="29">
        <f t="shared" si="12"/>
        <v>0.00211446292641669</v>
      </c>
      <c r="BC18" s="29">
        <f t="shared" si="13"/>
        <v>0.11910669975186104</v>
      </c>
      <c r="BD18" s="29">
        <f t="shared" si="14"/>
        <v>0.117867332382311</v>
      </c>
      <c r="BE18" s="29">
        <f t="shared" si="15"/>
        <v>0.11777992900935787</v>
      </c>
      <c r="BF18" s="29">
        <f t="shared" si="16"/>
        <v>0.02229299363057325</v>
      </c>
      <c r="BG18" s="29">
        <f t="shared" si="17"/>
        <v>0</v>
      </c>
      <c r="BH18" s="29">
        <f t="shared" si="18"/>
        <v>0</v>
      </c>
      <c r="BI18" s="29">
        <f t="shared" si="19"/>
        <v>0.005706757223275115</v>
      </c>
      <c r="BJ18" s="29">
        <f t="shared" si="82"/>
        <v>1.719332242375277</v>
      </c>
      <c r="BK18" s="29">
        <f t="shared" si="83"/>
        <v>0.45693272950476754</v>
      </c>
      <c r="BL18" s="29">
        <f t="shared" si="84"/>
        <v>0.03464977077542824</v>
      </c>
      <c r="BM18" s="29">
        <f t="shared" si="85"/>
        <v>0.16314598818980358</v>
      </c>
      <c r="BN18" s="29">
        <f t="shared" si="86"/>
        <v>0.1214240401465201</v>
      </c>
      <c r="BO18" s="29">
        <f t="shared" si="87"/>
        <v>0.0012298163637619775</v>
      </c>
      <c r="BP18" s="29">
        <f t="shared" si="88"/>
        <v>0.06927497595654565</v>
      </c>
      <c r="BQ18" s="29">
        <f t="shared" si="89"/>
        <v>0.06855413367894267</v>
      </c>
      <c r="BR18" s="29">
        <f t="shared" si="90"/>
        <v>0.06850329802845061</v>
      </c>
      <c r="BS18" s="29">
        <f t="shared" si="91"/>
        <v>0.012966076643671397</v>
      </c>
      <c r="BT18" s="29">
        <f t="shared" si="92"/>
        <v>0</v>
      </c>
      <c r="BU18" s="29">
        <f t="shared" si="93"/>
        <v>0</v>
      </c>
      <c r="BV18" s="29">
        <f t="shared" si="94"/>
        <v>0.003319170712108071</v>
      </c>
      <c r="BW18" s="29">
        <f t="shared" si="95"/>
        <v>0.9999999999999998</v>
      </c>
      <c r="BX18" s="29">
        <f t="shared" si="21"/>
        <v>0.8355525965379494</v>
      </c>
      <c r="BY18" s="29">
        <f t="shared" si="22"/>
        <v>0.015519399249061325</v>
      </c>
      <c r="BZ18" s="29">
        <f t="shared" si="23"/>
        <v>0.04629266378972146</v>
      </c>
      <c r="CA18" s="29">
        <f t="shared" si="24"/>
        <v>0.26861517049408495</v>
      </c>
      <c r="CB18" s="29">
        <f t="shared" si="25"/>
        <v>0.0036650690724555966</v>
      </c>
      <c r="CC18" s="29">
        <f t="shared" si="26"/>
        <v>0.5483870967741936</v>
      </c>
      <c r="CD18" s="29">
        <f t="shared" si="27"/>
        <v>0.03495007132667618</v>
      </c>
      <c r="CE18" s="29">
        <f t="shared" si="28"/>
        <v>0.0017747660535656665</v>
      </c>
      <c r="CF18" s="29">
        <f t="shared" si="29"/>
        <v>0</v>
      </c>
      <c r="CG18" s="29">
        <f t="shared" si="30"/>
        <v>0</v>
      </c>
      <c r="CH18" s="29">
        <f t="shared" si="31"/>
        <v>0.0003289512638965462</v>
      </c>
      <c r="CI18" s="29">
        <f t="shared" si="32"/>
        <v>1.7550857845616046</v>
      </c>
      <c r="CK18" s="29">
        <f t="shared" si="33"/>
        <v>0.6393536089995049</v>
      </c>
      <c r="CM18" s="29">
        <f t="shared" si="34"/>
        <v>1.6711051930758989</v>
      </c>
      <c r="CN18" s="29">
        <f t="shared" si="34"/>
        <v>0.03103879849812265</v>
      </c>
      <c r="CO18" s="29">
        <f t="shared" si="35"/>
        <v>0.13887799136916437</v>
      </c>
      <c r="CP18" s="29">
        <f t="shared" si="36"/>
        <v>0.26861517049408495</v>
      </c>
      <c r="CQ18" s="29">
        <f t="shared" si="36"/>
        <v>0.0036650690724555966</v>
      </c>
      <c r="CR18" s="29">
        <f t="shared" si="36"/>
        <v>0.5483870967741936</v>
      </c>
      <c r="CS18" s="29">
        <f t="shared" si="36"/>
        <v>0.03495007132667618</v>
      </c>
      <c r="CT18" s="29">
        <f t="shared" si="36"/>
        <v>0.0017747660535656665</v>
      </c>
      <c r="CU18" s="29">
        <f t="shared" si="36"/>
        <v>0</v>
      </c>
      <c r="CV18" s="29">
        <f t="shared" si="36"/>
        <v>0</v>
      </c>
      <c r="CW18" s="29">
        <f t="shared" si="37"/>
        <v>0.0009868537916896385</v>
      </c>
      <c r="CX18" s="29">
        <f t="shared" si="38"/>
        <v>2.6994010104558517</v>
      </c>
      <c r="CY18" s="29">
        <f t="shared" si="39"/>
        <v>2.222715327126136</v>
      </c>
      <c r="CZ18" s="29">
        <f t="shared" si="40"/>
        <v>1.8571955629449406</v>
      </c>
      <c r="DA18" s="29">
        <f t="shared" si="41"/>
        <v>0.03449520657867845</v>
      </c>
      <c r="DB18" s="29">
        <f t="shared" si="42"/>
        <v>0.20579082667782192</v>
      </c>
      <c r="DC18" s="29">
        <f t="shared" si="43"/>
        <v>1.8916907695236191</v>
      </c>
      <c r="DD18" s="29">
        <f t="shared" si="44"/>
        <v>0.1428044370550594</v>
      </c>
      <c r="DE18" s="29">
        <f t="shared" si="45"/>
        <v>0.06298638962276251</v>
      </c>
      <c r="DF18" s="29">
        <f t="shared" si="46"/>
        <v>0.5970550565558028</v>
      </c>
      <c r="DG18" s="29">
        <f t="shared" si="47"/>
        <v>0.008146405202323025</v>
      </c>
      <c r="DH18" s="29">
        <f t="shared" si="48"/>
        <v>1.2189084051982038</v>
      </c>
      <c r="DI18" s="29">
        <f t="shared" si="49"/>
        <v>0.07768405922195483</v>
      </c>
      <c r="DJ18" s="29">
        <f t="shared" si="50"/>
        <v>0.007889599418647144</v>
      </c>
      <c r="DK18" s="29">
        <f t="shared" si="51"/>
        <v>0</v>
      </c>
      <c r="DL18" s="29">
        <f t="shared" si="52"/>
        <v>0</v>
      </c>
      <c r="DM18" s="29">
        <f t="shared" si="53"/>
        <v>0.0014623300322807351</v>
      </c>
      <c r="DN18" s="31">
        <f t="shared" si="54"/>
        <v>4.0086274518306535</v>
      </c>
      <c r="DP18" s="29">
        <f t="shared" si="55"/>
        <v>0.007889599418647144</v>
      </c>
      <c r="DQ18" s="29">
        <f t="shared" si="56"/>
        <v>0.03449520657867845</v>
      </c>
      <c r="DR18" s="29">
        <f t="shared" si="57"/>
        <v>0.0014623300322807351</v>
      </c>
      <c r="DS18" s="31">
        <f t="shared" si="58"/>
        <v>0.05363446017183463</v>
      </c>
      <c r="DT18" s="29">
        <f t="shared" si="59"/>
        <v>0.07768405922195483</v>
      </c>
      <c r="DU18" s="29">
        <f t="shared" si="60"/>
        <v>0.8291480704919308</v>
      </c>
      <c r="DV18" s="29">
        <f t="shared" si="61"/>
        <v>1.0043137259153267</v>
      </c>
      <c r="DW18" s="29">
        <f t="shared" si="62"/>
        <v>4.680342951651435</v>
      </c>
      <c r="DX18" s="29">
        <f t="shared" si="63"/>
        <v>3.134505927099874</v>
      </c>
      <c r="EA18" s="29">
        <f t="shared" si="64"/>
        <v>0.45693272950476754</v>
      </c>
      <c r="EB18" s="29">
        <f t="shared" si="65"/>
        <v>0.2604829661457704</v>
      </c>
      <c r="EC18" s="29">
        <f t="shared" si="66"/>
        <v>-0.870219928858949</v>
      </c>
      <c r="ED18" s="29">
        <f t="shared" si="67"/>
        <v>4.596716679558883</v>
      </c>
      <c r="EE18" s="29">
        <f t="shared" si="96"/>
        <v>15689.568700086598</v>
      </c>
      <c r="EF18" s="29">
        <f t="shared" si="97"/>
        <v>10.78572311547425</v>
      </c>
      <c r="EG18" s="29">
        <f t="shared" si="98"/>
        <v>1454.6608078207398</v>
      </c>
      <c r="EH18" s="29">
        <f t="shared" si="68"/>
        <v>1145</v>
      </c>
      <c r="EI18" s="29">
        <f t="shared" si="69"/>
        <v>1186.9584821630074</v>
      </c>
      <c r="EK18" s="29">
        <f t="shared" si="70"/>
        <v>1.0209377043749406</v>
      </c>
      <c r="EL18" s="29">
        <f t="shared" si="71"/>
        <v>0.7</v>
      </c>
      <c r="EM18" s="31">
        <f t="shared" si="72"/>
        <v>7.819220919448154</v>
      </c>
      <c r="EN18" s="31">
        <f t="shared" si="73"/>
        <v>7.659040694181385</v>
      </c>
      <c r="EO18" s="31">
        <f t="shared" si="74"/>
        <v>3.635058735825572</v>
      </c>
      <c r="EP18" s="31">
        <f t="shared" si="75"/>
        <v>0.36326865954623017</v>
      </c>
      <c r="EQ18" s="31">
        <f t="shared" si="76"/>
        <v>1172.3456997241099</v>
      </c>
    </row>
    <row r="19" spans="1:147" s="29" customFormat="1" ht="12.75">
      <c r="A19" s="29" t="s">
        <v>40</v>
      </c>
      <c r="B19" s="29" t="s">
        <v>39</v>
      </c>
      <c r="C19" s="30">
        <v>2.3</v>
      </c>
      <c r="D19" s="37">
        <v>1470</v>
      </c>
      <c r="F19" s="38">
        <v>2527</v>
      </c>
      <c r="G19" s="30">
        <v>42.66</v>
      </c>
      <c r="H19" s="30">
        <v>0.66</v>
      </c>
      <c r="I19" s="30">
        <v>9.36</v>
      </c>
      <c r="J19" s="30">
        <v>20.48</v>
      </c>
      <c r="K19" s="30">
        <v>0.28</v>
      </c>
      <c r="L19" s="30">
        <v>13.96</v>
      </c>
      <c r="M19" s="30">
        <v>11.13</v>
      </c>
      <c r="N19" s="30">
        <v>0.11</v>
      </c>
      <c r="O19" s="30">
        <v>0.04</v>
      </c>
      <c r="P19" s="30">
        <v>0</v>
      </c>
      <c r="Q19" s="30">
        <v>0.33</v>
      </c>
      <c r="R19" s="30">
        <v>0</v>
      </c>
      <c r="S19" s="30">
        <v>0</v>
      </c>
      <c r="T19" s="29">
        <f t="shared" si="77"/>
        <v>99.01</v>
      </c>
      <c r="V19" s="30">
        <v>53.55</v>
      </c>
      <c r="W19" s="30">
        <v>0.06</v>
      </c>
      <c r="X19" s="30">
        <v>3.95</v>
      </c>
      <c r="Y19" s="30">
        <v>12.59</v>
      </c>
      <c r="Z19" s="30">
        <v>0.17</v>
      </c>
      <c r="AA19" s="30">
        <v>26.86</v>
      </c>
      <c r="AB19" s="30">
        <v>2.51</v>
      </c>
      <c r="AC19" s="30">
        <v>0.01</v>
      </c>
      <c r="AD19" s="30">
        <v>0</v>
      </c>
      <c r="AE19" s="30">
        <v>0</v>
      </c>
      <c r="AF19" s="30">
        <v>0.95</v>
      </c>
      <c r="AG19" s="30">
        <v>0</v>
      </c>
      <c r="AH19" s="29">
        <f t="shared" si="78"/>
        <v>100.65000000000002</v>
      </c>
      <c r="AJ19" s="40">
        <f t="shared" si="79"/>
        <v>1448.7734750042919</v>
      </c>
      <c r="AK19" s="41">
        <f t="shared" si="0"/>
        <v>1478.8453303916178</v>
      </c>
      <c r="AL19" s="40">
        <f t="shared" si="1"/>
        <v>1488.705475155464</v>
      </c>
      <c r="AN19" s="40">
        <f t="shared" si="2"/>
        <v>1.716502597921501</v>
      </c>
      <c r="AO19" s="40">
        <f t="shared" si="3"/>
        <v>2.0850287539161347</v>
      </c>
      <c r="AP19" s="40">
        <f t="shared" si="4"/>
        <v>2.2988728770895746</v>
      </c>
      <c r="AQ19" s="64"/>
      <c r="AR19" s="71">
        <f t="shared" si="5"/>
        <v>0.319503182008563</v>
      </c>
      <c r="AT19" s="29">
        <f t="shared" si="6"/>
        <v>0.26290448527922045</v>
      </c>
      <c r="AU19" s="29">
        <f t="shared" si="7"/>
        <v>0.822854043663873</v>
      </c>
      <c r="AV19" s="29">
        <f t="shared" si="80"/>
        <v>54.8590274397414</v>
      </c>
      <c r="AW19" s="29">
        <f t="shared" si="81"/>
        <v>79.18255193930253</v>
      </c>
      <c r="AX19" s="29">
        <f t="shared" si="8"/>
        <v>0.7100532623169108</v>
      </c>
      <c r="AY19" s="29">
        <f t="shared" si="9"/>
        <v>0.008260325406758447</v>
      </c>
      <c r="AZ19" s="29">
        <f t="shared" si="10"/>
        <v>0.18360141231855628</v>
      </c>
      <c r="BA19" s="29">
        <f t="shared" si="11"/>
        <v>0.2850382741823243</v>
      </c>
      <c r="BB19" s="29">
        <f t="shared" si="12"/>
        <v>0.0039469974626444885</v>
      </c>
      <c r="BC19" s="29">
        <f t="shared" si="13"/>
        <v>0.3464019851116626</v>
      </c>
      <c r="BD19" s="29">
        <f t="shared" si="14"/>
        <v>0.1984664764621969</v>
      </c>
      <c r="BE19" s="29">
        <f t="shared" si="15"/>
        <v>0.003549532107131333</v>
      </c>
      <c r="BF19" s="29">
        <f t="shared" si="16"/>
        <v>0.0008492569002123143</v>
      </c>
      <c r="BG19" s="29">
        <f t="shared" si="17"/>
        <v>0</v>
      </c>
      <c r="BH19" s="29">
        <f t="shared" si="18"/>
        <v>0.0043421566834344096</v>
      </c>
      <c r="BI19" s="29">
        <f t="shared" si="19"/>
        <v>0</v>
      </c>
      <c r="BJ19" s="29">
        <f t="shared" si="82"/>
        <v>1.744509678951832</v>
      </c>
      <c r="BK19" s="29">
        <f t="shared" si="83"/>
        <v>0.4070216811542931</v>
      </c>
      <c r="BL19" s="29">
        <f t="shared" si="84"/>
        <v>0.004735041316435438</v>
      </c>
      <c r="BM19" s="29">
        <f t="shared" si="85"/>
        <v>0.10524528154459482</v>
      </c>
      <c r="BN19" s="29">
        <f t="shared" si="86"/>
        <v>0.16339162666818002</v>
      </c>
      <c r="BO19" s="29">
        <f t="shared" si="87"/>
        <v>0.002262525401989168</v>
      </c>
      <c r="BP19" s="29">
        <f t="shared" si="88"/>
        <v>0.19856696084357303</v>
      </c>
      <c r="BQ19" s="29">
        <f t="shared" si="89"/>
        <v>0.11376633724465383</v>
      </c>
      <c r="BR19" s="29">
        <f t="shared" si="90"/>
        <v>0.0020346875399762914</v>
      </c>
      <c r="BS19" s="29">
        <f t="shared" si="91"/>
        <v>0.0004868169609254219</v>
      </c>
      <c r="BT19" s="29">
        <f t="shared" si="92"/>
        <v>0</v>
      </c>
      <c r="BU19" s="29">
        <f t="shared" si="93"/>
        <v>0.002489041325378798</v>
      </c>
      <c r="BV19" s="29">
        <f t="shared" si="94"/>
        <v>0</v>
      </c>
      <c r="BW19" s="29">
        <f t="shared" si="95"/>
        <v>0.9999999999999999</v>
      </c>
      <c r="BX19" s="29">
        <f t="shared" si="21"/>
        <v>0.8913115845539281</v>
      </c>
      <c r="BY19" s="29">
        <f t="shared" si="22"/>
        <v>0.000750938673341677</v>
      </c>
      <c r="BZ19" s="29">
        <f t="shared" si="23"/>
        <v>0.03874068262063555</v>
      </c>
      <c r="CA19" s="29">
        <f t="shared" si="24"/>
        <v>0.17522616562282534</v>
      </c>
      <c r="CB19" s="29">
        <f t="shared" si="25"/>
        <v>0.0023963913166055823</v>
      </c>
      <c r="CC19" s="29">
        <f t="shared" si="26"/>
        <v>0.6665012406947891</v>
      </c>
      <c r="CD19" s="29">
        <f t="shared" si="27"/>
        <v>0.04475748930099857</v>
      </c>
      <c r="CE19" s="29">
        <f t="shared" si="28"/>
        <v>0.0001613423685059697</v>
      </c>
      <c r="CF19" s="29">
        <f t="shared" si="29"/>
        <v>0</v>
      </c>
      <c r="CG19" s="29">
        <f t="shared" si="30"/>
        <v>0</v>
      </c>
      <c r="CH19" s="29">
        <f t="shared" si="31"/>
        <v>0.0062500740140343765</v>
      </c>
      <c r="CI19" s="29">
        <f t="shared" si="32"/>
        <v>1.826095909165664</v>
      </c>
      <c r="CK19" s="29">
        <f t="shared" si="33"/>
        <v>0.7444506564444023</v>
      </c>
      <c r="CM19" s="29">
        <f>2*BX19</f>
        <v>1.7826231691078562</v>
      </c>
      <c r="CN19" s="29">
        <f>2*BY19</f>
        <v>0.001501877346683354</v>
      </c>
      <c r="CO19" s="29">
        <f t="shared" si="35"/>
        <v>0.11622204786190665</v>
      </c>
      <c r="CP19" s="29">
        <f aca="true" t="shared" si="99" ref="CP19:CU19">CA19</f>
        <v>0.17522616562282534</v>
      </c>
      <c r="CQ19" s="29">
        <f t="shared" si="99"/>
        <v>0.0023963913166055823</v>
      </c>
      <c r="CR19" s="29">
        <f t="shared" si="99"/>
        <v>0.6665012406947891</v>
      </c>
      <c r="CS19" s="29">
        <f t="shared" si="99"/>
        <v>0.04475748930099857</v>
      </c>
      <c r="CT19" s="29">
        <f t="shared" si="99"/>
        <v>0.0001613423685059697</v>
      </c>
      <c r="CU19" s="29">
        <f t="shared" si="99"/>
        <v>0</v>
      </c>
      <c r="CV19" s="29">
        <f aca="true" t="shared" si="100" ref="CV19:CV29">CG19</f>
        <v>0</v>
      </c>
      <c r="CW19" s="29">
        <f t="shared" si="37"/>
        <v>0.01875022204210313</v>
      </c>
      <c r="CX19" s="29">
        <f t="shared" si="38"/>
        <v>2.8081399456622735</v>
      </c>
      <c r="CY19" s="29">
        <f t="shared" si="39"/>
        <v>2.136645650181425</v>
      </c>
      <c r="CZ19" s="29">
        <f t="shared" si="40"/>
        <v>1.9044170200934638</v>
      </c>
      <c r="DA19" s="29">
        <f t="shared" si="41"/>
        <v>0.0016044898499485041</v>
      </c>
      <c r="DB19" s="29">
        <f t="shared" si="42"/>
        <v>0.16555022201288014</v>
      </c>
      <c r="DC19" s="29">
        <f t="shared" si="43"/>
        <v>1.9060215099434124</v>
      </c>
      <c r="DD19" s="29">
        <f t="shared" si="44"/>
        <v>0.09558297990653619</v>
      </c>
      <c r="DE19" s="29">
        <f t="shared" si="45"/>
        <v>0.06996724210634395</v>
      </c>
      <c r="DF19" s="29">
        <f t="shared" si="46"/>
        <v>0.37439622457597965</v>
      </c>
      <c r="DG19" s="29">
        <f t="shared" si="47"/>
        <v>0.005120239082757855</v>
      </c>
      <c r="DH19" s="29">
        <f t="shared" si="48"/>
        <v>1.424076976771044</v>
      </c>
      <c r="DI19" s="29">
        <f t="shared" si="49"/>
        <v>0.09563089482802026</v>
      </c>
      <c r="DJ19" s="29">
        <f t="shared" si="50"/>
        <v>0.0006894629397164973</v>
      </c>
      <c r="DK19" s="29">
        <f t="shared" si="51"/>
        <v>0</v>
      </c>
      <c r="DL19" s="29">
        <f t="shared" si="52"/>
        <v>0</v>
      </c>
      <c r="DM19" s="29">
        <f t="shared" si="53"/>
        <v>0.026708386910797015</v>
      </c>
      <c r="DN19" s="31">
        <f t="shared" si="54"/>
        <v>3.998193917064608</v>
      </c>
      <c r="DP19" s="29">
        <f t="shared" si="55"/>
        <v>0.0006894629397164973</v>
      </c>
      <c r="DQ19" s="29">
        <f t="shared" si="56"/>
        <v>0.0016044898499485041</v>
      </c>
      <c r="DR19" s="29">
        <f t="shared" si="57"/>
        <v>0.026708386910797015</v>
      </c>
      <c r="DS19" s="31">
        <f t="shared" si="58"/>
        <v>0.04256939225583043</v>
      </c>
      <c r="DT19" s="29">
        <f t="shared" si="59"/>
        <v>0.09563089482802026</v>
      </c>
      <c r="DU19" s="29">
        <f t="shared" si="60"/>
        <v>0.8318943317479911</v>
      </c>
      <c r="DV19" s="29">
        <f t="shared" si="61"/>
        <v>0.9990969585323037</v>
      </c>
      <c r="DW19" s="29">
        <f t="shared" si="62"/>
        <v>3.633716082701844</v>
      </c>
      <c r="DX19" s="29">
        <f t="shared" si="63"/>
        <v>3.255186468136381</v>
      </c>
      <c r="EA19" s="29">
        <f t="shared" si="64"/>
        <v>0.4070216811542931</v>
      </c>
      <c r="EB19" s="29">
        <f t="shared" si="65"/>
        <v>0.47798745015839605</v>
      </c>
      <c r="EC19" s="29">
        <f t="shared" si="66"/>
        <v>-0.42244380547641597</v>
      </c>
      <c r="ED19" s="29">
        <f t="shared" si="67"/>
        <v>1.9510326424564424</v>
      </c>
      <c r="EE19" s="29">
        <f t="shared" si="96"/>
        <v>16940.41061291254</v>
      </c>
      <c r="EF19" s="29">
        <f t="shared" si="97"/>
        <v>9.83807402525267</v>
      </c>
      <c r="EG19" s="29">
        <f t="shared" si="98"/>
        <v>1721.923475004292</v>
      </c>
      <c r="EH19" s="29">
        <f t="shared" si="68"/>
        <v>1470</v>
      </c>
      <c r="EI19" s="29">
        <f t="shared" si="69"/>
        <v>1478.3125388750489</v>
      </c>
      <c r="EK19" s="29">
        <f t="shared" si="70"/>
        <v>2.044466311533342</v>
      </c>
      <c r="EL19" s="29">
        <f t="shared" si="71"/>
        <v>2.3</v>
      </c>
      <c r="EM19" s="31">
        <f t="shared" si="72"/>
        <v>22.30950310406392</v>
      </c>
      <c r="EN19" s="31">
        <f t="shared" si="73"/>
        <v>22.184962043393625</v>
      </c>
      <c r="EO19" s="31">
        <f t="shared" si="74"/>
        <v>16.056096017800822</v>
      </c>
      <c r="EP19" s="31">
        <f t="shared" si="75"/>
        <v>0.5485902743974141</v>
      </c>
      <c r="EQ19" s="31">
        <f t="shared" si="76"/>
        <v>1488.705475155464</v>
      </c>
    </row>
    <row r="20" spans="1:147" s="29" customFormat="1" ht="12.75">
      <c r="A20" s="29" t="s">
        <v>35</v>
      </c>
      <c r="B20" s="29" t="s">
        <v>36</v>
      </c>
      <c r="C20" s="30">
        <v>1.5</v>
      </c>
      <c r="D20" s="37">
        <v>1400</v>
      </c>
      <c r="F20" s="38">
        <v>334</v>
      </c>
      <c r="G20" s="30">
        <v>48.64</v>
      </c>
      <c r="H20" s="30">
        <v>1.16</v>
      </c>
      <c r="I20" s="30">
        <v>14.32</v>
      </c>
      <c r="J20" s="30">
        <v>9.19</v>
      </c>
      <c r="K20" s="30">
        <v>0</v>
      </c>
      <c r="L20" s="30">
        <v>13.49</v>
      </c>
      <c r="M20" s="30">
        <v>10.19</v>
      </c>
      <c r="N20" s="30">
        <v>2.65</v>
      </c>
      <c r="O20" s="30">
        <v>0.21</v>
      </c>
      <c r="P20" s="30">
        <v>0</v>
      </c>
      <c r="Q20" s="30">
        <v>0.15</v>
      </c>
      <c r="R20" s="30">
        <v>0</v>
      </c>
      <c r="S20" s="30">
        <v>0</v>
      </c>
      <c r="T20" s="29">
        <f t="shared" si="77"/>
        <v>100</v>
      </c>
      <c r="V20" s="30">
        <v>54.95</v>
      </c>
      <c r="W20" s="30">
        <v>0.22</v>
      </c>
      <c r="X20" s="30">
        <v>4.32</v>
      </c>
      <c r="Y20" s="30">
        <v>6.85</v>
      </c>
      <c r="Z20" s="30">
        <v>0</v>
      </c>
      <c r="AA20" s="30">
        <v>30.59</v>
      </c>
      <c r="AB20" s="30">
        <v>2.38</v>
      </c>
      <c r="AC20" s="30">
        <v>0.2</v>
      </c>
      <c r="AD20" s="30">
        <v>0</v>
      </c>
      <c r="AE20" s="30">
        <v>0</v>
      </c>
      <c r="AF20" s="30">
        <v>0.49</v>
      </c>
      <c r="AG20" s="30">
        <v>0</v>
      </c>
      <c r="AH20" s="29">
        <f t="shared" si="78"/>
        <v>100</v>
      </c>
      <c r="AJ20" s="40">
        <f t="shared" si="79"/>
        <v>1383.0602680503962</v>
      </c>
      <c r="AK20" s="41">
        <f t="shared" si="0"/>
        <v>1376.1325762493855</v>
      </c>
      <c r="AL20" s="40">
        <f t="shared" si="1"/>
        <v>1388.04370005567</v>
      </c>
      <c r="AN20" s="40">
        <f t="shared" si="2"/>
        <v>1.5806677609534012</v>
      </c>
      <c r="AO20" s="40">
        <f t="shared" si="3"/>
        <v>1.55532880111546</v>
      </c>
      <c r="AP20" s="40">
        <f t="shared" si="4"/>
        <v>1.7891132416000388</v>
      </c>
      <c r="AQ20" s="64"/>
      <c r="AR20" s="71">
        <f t="shared" si="5"/>
        <v>0.3287059252901141</v>
      </c>
      <c r="AT20" s="29">
        <f t="shared" si="6"/>
        <v>0.12559992156118716</v>
      </c>
      <c r="AU20" s="29">
        <f t="shared" si="7"/>
        <v>0.38210422112206627</v>
      </c>
      <c r="AV20" s="29">
        <f t="shared" si="80"/>
        <v>72.3534437358238</v>
      </c>
      <c r="AW20" s="29">
        <f t="shared" si="81"/>
        <v>88.84151294298401</v>
      </c>
      <c r="AX20" s="29">
        <f t="shared" si="8"/>
        <v>0.8095872170439414</v>
      </c>
      <c r="AY20" s="29">
        <f t="shared" si="9"/>
        <v>0.014518147684605754</v>
      </c>
      <c r="AZ20" s="29">
        <f t="shared" si="10"/>
        <v>0.28089446841898785</v>
      </c>
      <c r="BA20" s="29">
        <f t="shared" si="11"/>
        <v>0.12790535838552541</v>
      </c>
      <c r="BB20" s="29">
        <f t="shared" si="12"/>
        <v>0</v>
      </c>
      <c r="BC20" s="29">
        <f t="shared" si="13"/>
        <v>0.33473945409429284</v>
      </c>
      <c r="BD20" s="29">
        <f t="shared" si="14"/>
        <v>0.18170470756062768</v>
      </c>
      <c r="BE20" s="29">
        <f t="shared" si="15"/>
        <v>0.08551145530816393</v>
      </c>
      <c r="BF20" s="29">
        <f t="shared" si="16"/>
        <v>0.0044585987261146496</v>
      </c>
      <c r="BG20" s="29">
        <f t="shared" si="17"/>
        <v>0</v>
      </c>
      <c r="BH20" s="29">
        <f t="shared" si="18"/>
        <v>0.0019737075833792766</v>
      </c>
      <c r="BI20" s="29">
        <f t="shared" si="19"/>
        <v>0</v>
      </c>
      <c r="BJ20" s="29">
        <f t="shared" si="82"/>
        <v>1.841293114805639</v>
      </c>
      <c r="BK20" s="29">
        <f t="shared" si="83"/>
        <v>0.4396840516776705</v>
      </c>
      <c r="BL20" s="29">
        <f t="shared" si="84"/>
        <v>0.00788475640725906</v>
      </c>
      <c r="BM20" s="29">
        <f t="shared" si="85"/>
        <v>0.15255282614177273</v>
      </c>
      <c r="BN20" s="29">
        <f t="shared" si="86"/>
        <v>0.06946496315934288</v>
      </c>
      <c r="BO20" s="29">
        <f t="shared" si="87"/>
        <v>0</v>
      </c>
      <c r="BP20" s="29">
        <f t="shared" si="88"/>
        <v>0.1817958539043507</v>
      </c>
      <c r="BQ20" s="29">
        <f t="shared" si="89"/>
        <v>0.09868320589457472</v>
      </c>
      <c r="BR20" s="29">
        <f t="shared" si="90"/>
        <v>0.04644097923387404</v>
      </c>
      <c r="BS20" s="29">
        <f t="shared" si="91"/>
        <v>0.002421449735657804</v>
      </c>
      <c r="BT20" s="29">
        <f t="shared" si="92"/>
        <v>0</v>
      </c>
      <c r="BU20" s="29">
        <f t="shared" si="93"/>
        <v>0.0010719138454974425</v>
      </c>
      <c r="BV20" s="29">
        <f t="shared" si="94"/>
        <v>0</v>
      </c>
      <c r="BW20" s="29">
        <f t="shared" si="95"/>
        <v>0.9999999999999999</v>
      </c>
      <c r="BX20" s="29">
        <f t="shared" si="21"/>
        <v>0.9146138482023969</v>
      </c>
      <c r="BY20" s="29">
        <f t="shared" si="22"/>
        <v>0.002753441802252816</v>
      </c>
      <c r="BZ20" s="29">
        <f t="shared" si="23"/>
        <v>0.042369556688897615</v>
      </c>
      <c r="CA20" s="29">
        <f t="shared" si="24"/>
        <v>0.0953375086986778</v>
      </c>
      <c r="CB20" s="29">
        <f t="shared" si="25"/>
        <v>0</v>
      </c>
      <c r="CC20" s="29">
        <f t="shared" si="26"/>
        <v>0.7590570719602978</v>
      </c>
      <c r="CD20" s="29">
        <f t="shared" si="27"/>
        <v>0.04243937232524964</v>
      </c>
      <c r="CE20" s="29">
        <f t="shared" si="28"/>
        <v>0.0032268473701193936</v>
      </c>
      <c r="CF20" s="29">
        <f t="shared" si="29"/>
        <v>0</v>
      </c>
      <c r="CG20" s="29">
        <f t="shared" si="30"/>
        <v>0</v>
      </c>
      <c r="CH20" s="29">
        <f t="shared" si="31"/>
        <v>0.003223722386186152</v>
      </c>
      <c r="CI20" s="29">
        <f t="shared" si="32"/>
        <v>1.863021369434078</v>
      </c>
      <c r="CK20" s="29">
        <f t="shared" si="33"/>
        <v>0.8403299877843003</v>
      </c>
      <c r="CM20" s="29">
        <f aca="true" t="shared" si="101" ref="CM20:CN22">2*BX20</f>
        <v>1.8292276964047938</v>
      </c>
      <c r="CN20" s="29">
        <f t="shared" si="101"/>
        <v>0.005506883604505632</v>
      </c>
      <c r="CO20" s="29">
        <f t="shared" si="35"/>
        <v>0.12710867006669285</v>
      </c>
      <c r="CP20" s="29">
        <f aca="true" t="shared" si="102" ref="CP20:CU22">CA20</f>
        <v>0.0953375086986778</v>
      </c>
      <c r="CQ20" s="29">
        <f t="shared" si="102"/>
        <v>0</v>
      </c>
      <c r="CR20" s="29">
        <f t="shared" si="102"/>
        <v>0.7590570719602978</v>
      </c>
      <c r="CS20" s="29">
        <f aca="true" t="shared" si="103" ref="CS20:CU21">CD20</f>
        <v>0.04243937232524964</v>
      </c>
      <c r="CT20" s="29">
        <f t="shared" si="103"/>
        <v>0.0032268473701193936</v>
      </c>
      <c r="CU20" s="29">
        <f t="shared" si="103"/>
        <v>0</v>
      </c>
      <c r="CV20" s="29">
        <f t="shared" si="100"/>
        <v>0</v>
      </c>
      <c r="CW20" s="29">
        <f t="shared" si="37"/>
        <v>0.009671167158558456</v>
      </c>
      <c r="CX20" s="29">
        <f t="shared" si="38"/>
        <v>2.871575217588896</v>
      </c>
      <c r="CY20" s="29">
        <f t="shared" si="39"/>
        <v>2.089445529146846</v>
      </c>
      <c r="CZ20" s="29">
        <f t="shared" si="40"/>
        <v>1.9110358160222902</v>
      </c>
      <c r="DA20" s="29">
        <f t="shared" si="41"/>
        <v>0.00575316666348318</v>
      </c>
      <c r="DB20" s="29">
        <f t="shared" si="42"/>
        <v>0.17705776159110193</v>
      </c>
      <c r="DC20" s="29">
        <f t="shared" si="43"/>
        <v>1.9167889826857734</v>
      </c>
      <c r="DD20" s="29">
        <f t="shared" si="44"/>
        <v>0.08896418397770978</v>
      </c>
      <c r="DE20" s="29">
        <f t="shared" si="45"/>
        <v>0.08809357761339215</v>
      </c>
      <c r="DF20" s="29">
        <f t="shared" si="46"/>
        <v>0.19920253131045085</v>
      </c>
      <c r="DG20" s="29">
        <f t="shared" si="47"/>
        <v>0</v>
      </c>
      <c r="DH20" s="29">
        <f t="shared" si="48"/>
        <v>1.5860084053747399</v>
      </c>
      <c r="DI20" s="29">
        <f t="shared" si="49"/>
        <v>0.08867475676479125</v>
      </c>
      <c r="DJ20" s="29">
        <f t="shared" si="50"/>
        <v>0.013484643621470449</v>
      </c>
      <c r="DK20" s="29">
        <f t="shared" si="51"/>
        <v>0</v>
      </c>
      <c r="DL20" s="29">
        <f t="shared" si="52"/>
        <v>0</v>
      </c>
      <c r="DM20" s="29">
        <f t="shared" si="53"/>
        <v>0.013471584654054515</v>
      </c>
      <c r="DN20" s="31">
        <f t="shared" si="54"/>
        <v>3.994688666002382</v>
      </c>
      <c r="DP20" s="29">
        <f t="shared" si="55"/>
        <v>0.013484643621470449</v>
      </c>
      <c r="DQ20" s="29">
        <f t="shared" si="56"/>
        <v>0.00575316666348318</v>
      </c>
      <c r="DR20" s="29">
        <f t="shared" si="57"/>
        <v>0.013471584654054515</v>
      </c>
      <c r="DS20" s="31">
        <f t="shared" si="58"/>
        <v>0.061137349337867186</v>
      </c>
      <c r="DT20" s="29">
        <f t="shared" si="59"/>
        <v>0.08867475676479125</v>
      </c>
      <c r="DU20" s="29">
        <f t="shared" si="60"/>
        <v>0.8148228319595247</v>
      </c>
      <c r="DV20" s="29">
        <f t="shared" si="61"/>
        <v>0.9973443330011913</v>
      </c>
      <c r="DW20" s="29">
        <f t="shared" si="62"/>
        <v>4.201140710361118</v>
      </c>
      <c r="DX20" s="29">
        <f t="shared" si="63"/>
        <v>3.1688190084562526</v>
      </c>
      <c r="EA20" s="29">
        <f t="shared" si="64"/>
        <v>0.4396840516776705</v>
      </c>
      <c r="EB20" s="29">
        <f t="shared" si="65"/>
        <v>0.3499440229582683</v>
      </c>
      <c r="EC20" s="29">
        <f t="shared" si="66"/>
        <v>-0.6347557451811703</v>
      </c>
      <c r="ED20" s="29">
        <f t="shared" si="67"/>
        <v>2.411804282426764</v>
      </c>
      <c r="EE20" s="29">
        <f t="shared" si="96"/>
        <v>16314.989656499569</v>
      </c>
      <c r="EF20" s="29">
        <f t="shared" si="97"/>
        <v>9.85079610435257</v>
      </c>
      <c r="EG20" s="29">
        <f t="shared" si="98"/>
        <v>1656.2102680503963</v>
      </c>
      <c r="EH20" s="29">
        <f t="shared" si="68"/>
        <v>1400</v>
      </c>
      <c r="EI20" s="29">
        <f t="shared" si="69"/>
        <v>1375.70764131618</v>
      </c>
      <c r="EK20" s="29">
        <f t="shared" si="70"/>
        <v>1.6508424338986831</v>
      </c>
      <c r="EL20" s="29">
        <f t="shared" si="71"/>
        <v>1.5</v>
      </c>
      <c r="EM20" s="31">
        <f t="shared" si="72"/>
        <v>19.747759991476457</v>
      </c>
      <c r="EN20" s="31">
        <f t="shared" si="73"/>
        <v>19.612127791918738</v>
      </c>
      <c r="EO20" s="31">
        <f t="shared" si="74"/>
        <v>13.735189358519014</v>
      </c>
      <c r="EP20" s="31">
        <f t="shared" si="75"/>
        <v>0.7235344373582381</v>
      </c>
      <c r="EQ20" s="31">
        <f t="shared" si="76"/>
        <v>1388.04370005567</v>
      </c>
    </row>
    <row r="21" spans="1:147" s="29" customFormat="1" ht="12.75">
      <c r="A21" s="29" t="s">
        <v>35</v>
      </c>
      <c r="B21" s="29" t="s">
        <v>37</v>
      </c>
      <c r="C21" s="30">
        <v>1.5</v>
      </c>
      <c r="D21" s="37">
        <v>1350</v>
      </c>
      <c r="F21" s="38">
        <v>333</v>
      </c>
      <c r="G21" s="30">
        <v>48.52</v>
      </c>
      <c r="H21" s="30">
        <v>1.54</v>
      </c>
      <c r="I21" s="30">
        <v>17.72</v>
      </c>
      <c r="J21" s="30">
        <v>8.67</v>
      </c>
      <c r="K21" s="30">
        <v>0</v>
      </c>
      <c r="L21" s="30">
        <v>10.37</v>
      </c>
      <c r="M21" s="30">
        <v>9.43</v>
      </c>
      <c r="N21" s="30">
        <v>3</v>
      </c>
      <c r="O21" s="30">
        <v>0.28</v>
      </c>
      <c r="P21" s="30">
        <v>0</v>
      </c>
      <c r="Q21" s="30">
        <v>0.07</v>
      </c>
      <c r="R21" s="30">
        <v>0</v>
      </c>
      <c r="S21" s="30">
        <v>0</v>
      </c>
      <c r="T21" s="29">
        <f t="shared" si="77"/>
        <v>99.6</v>
      </c>
      <c r="V21" s="30">
        <v>53.93</v>
      </c>
      <c r="W21" s="30">
        <v>0.19</v>
      </c>
      <c r="X21" s="30">
        <v>5.21</v>
      </c>
      <c r="Y21" s="30">
        <v>7.69</v>
      </c>
      <c r="Z21" s="30">
        <v>0</v>
      </c>
      <c r="AA21" s="30">
        <v>29.7</v>
      </c>
      <c r="AB21" s="30">
        <v>2.61</v>
      </c>
      <c r="AC21" s="30">
        <v>0.1</v>
      </c>
      <c r="AD21" s="30">
        <v>0</v>
      </c>
      <c r="AE21" s="30">
        <v>0</v>
      </c>
      <c r="AF21" s="30">
        <v>0.47</v>
      </c>
      <c r="AG21" s="30">
        <v>0</v>
      </c>
      <c r="AH21" s="29">
        <f t="shared" si="78"/>
        <v>99.89999999999999</v>
      </c>
      <c r="AJ21" s="40">
        <f t="shared" si="79"/>
        <v>1330.8431208675738</v>
      </c>
      <c r="AK21" s="41">
        <f t="shared" si="0"/>
        <v>1321.2983803681009</v>
      </c>
      <c r="AL21" s="40">
        <f t="shared" si="1"/>
        <v>1330.2173460543816</v>
      </c>
      <c r="AN21" s="40">
        <f t="shared" si="2"/>
        <v>1.2491070816819072</v>
      </c>
      <c r="AO21" s="40">
        <f t="shared" si="3"/>
        <v>1.291052351554796</v>
      </c>
      <c r="AP21" s="40">
        <f t="shared" si="4"/>
        <v>1.4726658569553264</v>
      </c>
      <c r="AQ21" s="64"/>
      <c r="AR21" s="71">
        <f t="shared" si="5"/>
        <v>0.3096916881230607</v>
      </c>
      <c r="AT21" s="29">
        <f t="shared" si="6"/>
        <v>0.14522726686957724</v>
      </c>
      <c r="AU21" s="29">
        <f t="shared" si="7"/>
        <v>0.46894144221225914</v>
      </c>
      <c r="AV21" s="29">
        <f t="shared" si="80"/>
        <v>68.0762330793784</v>
      </c>
      <c r="AW21" s="29">
        <f t="shared" si="81"/>
        <v>87.31891292926085</v>
      </c>
      <c r="AX21" s="29">
        <f t="shared" si="8"/>
        <v>0.807589880159787</v>
      </c>
      <c r="AY21" s="29">
        <f t="shared" si="9"/>
        <v>0.019274092615769713</v>
      </c>
      <c r="AZ21" s="29">
        <f t="shared" si="10"/>
        <v>0.3475872891329933</v>
      </c>
      <c r="BA21" s="29">
        <f t="shared" si="11"/>
        <v>0.12066805845511483</v>
      </c>
      <c r="BB21" s="29">
        <f t="shared" si="12"/>
        <v>0</v>
      </c>
      <c r="BC21" s="29">
        <f t="shared" si="13"/>
        <v>0.25732009925558313</v>
      </c>
      <c r="BD21" s="29">
        <f t="shared" si="14"/>
        <v>0.16815263908701855</v>
      </c>
      <c r="BE21" s="29">
        <f t="shared" si="15"/>
        <v>0.0968054211035818</v>
      </c>
      <c r="BF21" s="29">
        <f t="shared" si="16"/>
        <v>0.0059447983014862</v>
      </c>
      <c r="BG21" s="29">
        <f t="shared" si="17"/>
        <v>0</v>
      </c>
      <c r="BH21" s="29">
        <f t="shared" si="18"/>
        <v>0.0009210635389103293</v>
      </c>
      <c r="BI21" s="29">
        <f t="shared" si="19"/>
        <v>0</v>
      </c>
      <c r="BJ21" s="29">
        <f t="shared" si="82"/>
        <v>1.8242633416502447</v>
      </c>
      <c r="BK21" s="29">
        <f t="shared" si="83"/>
        <v>0.4426936954339246</v>
      </c>
      <c r="BL21" s="29">
        <f t="shared" si="84"/>
        <v>0.010565411350279176</v>
      </c>
      <c r="BM21" s="29">
        <f t="shared" si="85"/>
        <v>0.1905356979977259</v>
      </c>
      <c r="BN21" s="29">
        <f t="shared" si="86"/>
        <v>0.06614618388700254</v>
      </c>
      <c r="BO21" s="29">
        <f t="shared" si="87"/>
        <v>0</v>
      </c>
      <c r="BP21" s="29">
        <f t="shared" si="88"/>
        <v>0.14105425098484362</v>
      </c>
      <c r="BQ21" s="29">
        <f t="shared" si="89"/>
        <v>0.09217563892661801</v>
      </c>
      <c r="BR21" s="29">
        <f t="shared" si="90"/>
        <v>0.05306548615728405</v>
      </c>
      <c r="BS21" s="29">
        <f t="shared" si="91"/>
        <v>0.003258739111705486</v>
      </c>
      <c r="BT21" s="29">
        <f t="shared" si="92"/>
        <v>0</v>
      </c>
      <c r="BU21" s="29">
        <f t="shared" si="93"/>
        <v>0.0005048961506166796</v>
      </c>
      <c r="BV21" s="29">
        <f t="shared" si="94"/>
        <v>0</v>
      </c>
      <c r="BW21" s="29">
        <f t="shared" si="95"/>
        <v>1</v>
      </c>
      <c r="BX21" s="29">
        <f t="shared" si="21"/>
        <v>0.8976364846870839</v>
      </c>
      <c r="BY21" s="29">
        <f t="shared" si="22"/>
        <v>0.0023779724655819774</v>
      </c>
      <c r="BZ21" s="29">
        <f t="shared" si="23"/>
        <v>0.05109846998823068</v>
      </c>
      <c r="CA21" s="29">
        <f t="shared" si="24"/>
        <v>0.10702853166318721</v>
      </c>
      <c r="CB21" s="29">
        <f t="shared" si="25"/>
        <v>0</v>
      </c>
      <c r="CC21" s="29">
        <f t="shared" si="26"/>
        <v>0.7369727047146403</v>
      </c>
      <c r="CD21" s="29">
        <f t="shared" si="27"/>
        <v>0.046540656205420826</v>
      </c>
      <c r="CE21" s="29">
        <f t="shared" si="28"/>
        <v>0.0016134236850596968</v>
      </c>
      <c r="CF21" s="29">
        <f t="shared" si="29"/>
        <v>0</v>
      </c>
      <c r="CG21" s="29">
        <f t="shared" si="30"/>
        <v>0</v>
      </c>
      <c r="CH21" s="29">
        <f t="shared" si="31"/>
        <v>0.0030921418806275336</v>
      </c>
      <c r="CI21" s="29">
        <f t="shared" si="32"/>
        <v>1.8463603852898325</v>
      </c>
      <c r="CK21" s="29">
        <f t="shared" si="33"/>
        <v>0.8232055818828538</v>
      </c>
      <c r="CM21" s="29">
        <f t="shared" si="101"/>
        <v>1.7952729693741678</v>
      </c>
      <c r="CN21" s="29">
        <f t="shared" si="101"/>
        <v>0.004755944931163955</v>
      </c>
      <c r="CO21" s="29">
        <f t="shared" si="35"/>
        <v>0.15329540996469204</v>
      </c>
      <c r="CP21" s="29">
        <f t="shared" si="102"/>
        <v>0.10702853166318721</v>
      </c>
      <c r="CQ21" s="29">
        <f t="shared" si="102"/>
        <v>0</v>
      </c>
      <c r="CR21" s="29">
        <f t="shared" si="102"/>
        <v>0.7369727047146403</v>
      </c>
      <c r="CS21" s="29">
        <f t="shared" si="103"/>
        <v>0.046540656205420826</v>
      </c>
      <c r="CT21" s="29">
        <f t="shared" si="103"/>
        <v>0.0016134236850596968</v>
      </c>
      <c r="CU21" s="29">
        <f t="shared" si="103"/>
        <v>0</v>
      </c>
      <c r="CV21" s="29">
        <f t="shared" si="100"/>
        <v>0</v>
      </c>
      <c r="CW21" s="29">
        <f t="shared" si="37"/>
        <v>0.0092764256418826</v>
      </c>
      <c r="CX21" s="29">
        <f t="shared" si="38"/>
        <v>2.8547560661802147</v>
      </c>
      <c r="CY21" s="29">
        <f t="shared" si="39"/>
        <v>2.101755758077171</v>
      </c>
      <c r="CZ21" s="29">
        <f t="shared" si="40"/>
        <v>1.886612650351229</v>
      </c>
      <c r="DA21" s="29">
        <f t="shared" si="41"/>
        <v>0.0049979173220858885</v>
      </c>
      <c r="DB21" s="29">
        <f t="shared" si="42"/>
        <v>0.21479300705339469</v>
      </c>
      <c r="DC21" s="29">
        <f t="shared" si="43"/>
        <v>1.891610567673315</v>
      </c>
      <c r="DD21" s="29">
        <f t="shared" si="44"/>
        <v>0.11338734964877095</v>
      </c>
      <c r="DE21" s="29">
        <f t="shared" si="45"/>
        <v>0.10140565740462373</v>
      </c>
      <c r="DF21" s="29">
        <f t="shared" si="46"/>
        <v>0.22494783270164853</v>
      </c>
      <c r="DG21" s="29">
        <f t="shared" si="47"/>
        <v>0</v>
      </c>
      <c r="DH21" s="29">
        <f t="shared" si="48"/>
        <v>1.548936625679702</v>
      </c>
      <c r="DI21" s="29">
        <f t="shared" si="49"/>
        <v>0.09781709216443324</v>
      </c>
      <c r="DJ21" s="29">
        <f t="shared" si="50"/>
        <v>0.006782045040584612</v>
      </c>
      <c r="DK21" s="29">
        <f t="shared" si="51"/>
        <v>0</v>
      </c>
      <c r="DL21" s="29">
        <f t="shared" si="52"/>
        <v>0</v>
      </c>
      <c r="DM21" s="29">
        <f t="shared" si="53"/>
        <v>0.012997854004800982</v>
      </c>
      <c r="DN21" s="31">
        <f t="shared" si="54"/>
        <v>3.9978850243178785</v>
      </c>
      <c r="DP21" s="29">
        <f t="shared" si="55"/>
        <v>0.006782045040584612</v>
      </c>
      <c r="DQ21" s="29">
        <f t="shared" si="56"/>
        <v>0.0049979173220858885</v>
      </c>
      <c r="DR21" s="29">
        <f t="shared" si="57"/>
        <v>0.012997854004800982</v>
      </c>
      <c r="DS21" s="31">
        <f t="shared" si="58"/>
        <v>0.08162575835923815</v>
      </c>
      <c r="DT21" s="29">
        <f t="shared" si="59"/>
        <v>0.09781709216443324</v>
      </c>
      <c r="DU21" s="29">
        <f t="shared" si="60"/>
        <v>0.7947218452677965</v>
      </c>
      <c r="DV21" s="29">
        <f t="shared" si="61"/>
        <v>0.9989425121589395</v>
      </c>
      <c r="DW21" s="29">
        <f t="shared" si="62"/>
        <v>4.548128594908308</v>
      </c>
      <c r="DX21" s="29">
        <f t="shared" si="63"/>
        <v>3.199166871468784</v>
      </c>
      <c r="EA21" s="29">
        <f t="shared" si="64"/>
        <v>0.4426936954339246</v>
      </c>
      <c r="EB21" s="29">
        <f t="shared" si="65"/>
        <v>0.29937607379846415</v>
      </c>
      <c r="EC21" s="29">
        <f t="shared" si="66"/>
        <v>-0.8141904708867332</v>
      </c>
      <c r="ED21" s="29">
        <f t="shared" si="67"/>
        <v>3.0254932884176178</v>
      </c>
      <c r="EE21" s="29">
        <f t="shared" si="96"/>
        <v>16314.989656499569</v>
      </c>
      <c r="EF21" s="29">
        <f t="shared" si="97"/>
        <v>10.17148355828051</v>
      </c>
      <c r="EG21" s="29">
        <f t="shared" si="98"/>
        <v>1603.9931208675737</v>
      </c>
      <c r="EH21" s="29">
        <f t="shared" si="68"/>
        <v>1350</v>
      </c>
      <c r="EI21" s="29">
        <f t="shared" si="69"/>
        <v>1320.928966776347</v>
      </c>
      <c r="EK21" s="29">
        <f t="shared" si="70"/>
        <v>1.406837314064428</v>
      </c>
      <c r="EL21" s="29">
        <f t="shared" si="71"/>
        <v>1.5</v>
      </c>
      <c r="EM21" s="31">
        <f t="shared" si="72"/>
        <v>16.660309378974386</v>
      </c>
      <c r="EN21" s="31">
        <f t="shared" si="73"/>
        <v>16.52200001434585</v>
      </c>
      <c r="EO21" s="31">
        <f t="shared" si="74"/>
        <v>8.36189173050357</v>
      </c>
      <c r="EP21" s="31">
        <f t="shared" si="75"/>
        <v>0.680762330793784</v>
      </c>
      <c r="EQ21" s="31">
        <f t="shared" si="76"/>
        <v>1330.2173460543816</v>
      </c>
    </row>
    <row r="22" spans="1:147" s="29" customFormat="1" ht="12.75">
      <c r="A22" s="29" t="s">
        <v>35</v>
      </c>
      <c r="B22" s="29" t="s">
        <v>38</v>
      </c>
      <c r="C22" s="30">
        <v>1.5</v>
      </c>
      <c r="D22" s="37">
        <v>1300</v>
      </c>
      <c r="F22" s="38">
        <v>332</v>
      </c>
      <c r="G22" s="30">
        <v>49.09</v>
      </c>
      <c r="H22" s="30">
        <v>2.18</v>
      </c>
      <c r="I22" s="30">
        <v>19.3</v>
      </c>
      <c r="J22" s="30">
        <v>8.24</v>
      </c>
      <c r="K22" s="30">
        <v>0</v>
      </c>
      <c r="L22" s="30">
        <v>7.29</v>
      </c>
      <c r="M22" s="30">
        <v>5.95</v>
      </c>
      <c r="N22" s="30">
        <v>7.04</v>
      </c>
      <c r="O22" s="30">
        <v>0.88</v>
      </c>
      <c r="P22" s="30">
        <v>0</v>
      </c>
      <c r="Q22" s="30">
        <v>0.03</v>
      </c>
      <c r="R22" s="30">
        <v>0</v>
      </c>
      <c r="S22" s="30">
        <v>0</v>
      </c>
      <c r="T22" s="29">
        <f t="shared" si="77"/>
        <v>100.00000000000001</v>
      </c>
      <c r="V22" s="30">
        <v>53.06</v>
      </c>
      <c r="W22" s="30">
        <v>0.46</v>
      </c>
      <c r="X22" s="30">
        <v>6.41</v>
      </c>
      <c r="Y22" s="30">
        <v>9.55</v>
      </c>
      <c r="Z22" s="30">
        <v>0</v>
      </c>
      <c r="AA22" s="30">
        <v>28.25</v>
      </c>
      <c r="AB22" s="30">
        <v>1.93</v>
      </c>
      <c r="AC22" s="30">
        <v>0.29</v>
      </c>
      <c r="AD22" s="30">
        <v>0</v>
      </c>
      <c r="AE22" s="30">
        <v>0</v>
      </c>
      <c r="AF22" s="30">
        <v>0.04</v>
      </c>
      <c r="AG22" s="30">
        <v>0</v>
      </c>
      <c r="AH22" s="29">
        <f t="shared" si="78"/>
        <v>99.99000000000002</v>
      </c>
      <c r="AJ22" s="40">
        <f t="shared" si="79"/>
        <v>1315.992491752414</v>
      </c>
      <c r="AK22" s="41">
        <f t="shared" si="0"/>
        <v>1251.4604070084665</v>
      </c>
      <c r="AL22" s="40">
        <f t="shared" si="1"/>
        <v>1259.0856017905421</v>
      </c>
      <c r="AN22" s="40">
        <f t="shared" si="2"/>
        <v>1.7297214788783393</v>
      </c>
      <c r="AO22" s="40">
        <f t="shared" si="3"/>
        <v>1.3740782473839106</v>
      </c>
      <c r="AP22" s="40">
        <f t="shared" si="4"/>
        <v>1.171132619711187</v>
      </c>
      <c r="AQ22" s="64"/>
      <c r="AR22" s="71">
        <f t="shared" si="5"/>
        <v>0.2990785290832546</v>
      </c>
      <c r="AT22" s="29">
        <f t="shared" si="6"/>
        <v>0.18961085348655327</v>
      </c>
      <c r="AU22" s="29">
        <f t="shared" si="7"/>
        <v>0.6339835028203286</v>
      </c>
      <c r="AV22" s="29">
        <f t="shared" si="80"/>
        <v>61.20012829223522</v>
      </c>
      <c r="AW22" s="29">
        <f t="shared" si="81"/>
        <v>84.06110259242887</v>
      </c>
      <c r="AX22" s="29">
        <f t="shared" si="8"/>
        <v>0.8170772303595207</v>
      </c>
      <c r="AY22" s="29">
        <f t="shared" si="9"/>
        <v>0.027284105131414268</v>
      </c>
      <c r="AZ22" s="29">
        <f t="shared" si="10"/>
        <v>0.3785798352295018</v>
      </c>
      <c r="BA22" s="29">
        <f t="shared" si="11"/>
        <v>0.11468336812804455</v>
      </c>
      <c r="BB22" s="29">
        <f t="shared" si="12"/>
        <v>0</v>
      </c>
      <c r="BC22" s="29">
        <f t="shared" si="13"/>
        <v>0.18089330024813896</v>
      </c>
      <c r="BD22" s="29">
        <f t="shared" si="14"/>
        <v>0.10609843081312412</v>
      </c>
      <c r="BE22" s="29">
        <f t="shared" si="15"/>
        <v>0.22717005485640532</v>
      </c>
      <c r="BF22" s="29">
        <f t="shared" si="16"/>
        <v>0.018683651804670912</v>
      </c>
      <c r="BG22" s="29">
        <f t="shared" si="17"/>
        <v>0</v>
      </c>
      <c r="BH22" s="29">
        <f t="shared" si="18"/>
        <v>0.00039474151667585536</v>
      </c>
      <c r="BI22" s="29">
        <f t="shared" si="19"/>
        <v>0</v>
      </c>
      <c r="BJ22" s="29">
        <f t="shared" si="82"/>
        <v>1.8708647180874964</v>
      </c>
      <c r="BK22" s="29">
        <f t="shared" si="83"/>
        <v>0.4367377408211446</v>
      </c>
      <c r="BL22" s="29">
        <f t="shared" si="84"/>
        <v>0.014583686820127551</v>
      </c>
      <c r="BM22" s="29">
        <f t="shared" si="85"/>
        <v>0.20235553729213915</v>
      </c>
      <c r="BN22" s="29">
        <f t="shared" si="86"/>
        <v>0.06129965839821939</v>
      </c>
      <c r="BO22" s="29">
        <f t="shared" si="87"/>
        <v>0</v>
      </c>
      <c r="BP22" s="29">
        <f t="shared" si="88"/>
        <v>0.09668967429834173</v>
      </c>
      <c r="BQ22" s="29">
        <f t="shared" si="89"/>
        <v>0.05671090474226481</v>
      </c>
      <c r="BR22" s="29">
        <f t="shared" si="90"/>
        <v>0.12142516380801247</v>
      </c>
      <c r="BS22" s="29">
        <f t="shared" si="91"/>
        <v>0.009986639666694018</v>
      </c>
      <c r="BT22" s="29">
        <f t="shared" si="92"/>
        <v>0</v>
      </c>
      <c r="BU22" s="29">
        <f t="shared" si="93"/>
        <v>0.00021099415305633772</v>
      </c>
      <c r="BV22" s="29">
        <f t="shared" si="94"/>
        <v>0</v>
      </c>
      <c r="BW22" s="29">
        <f t="shared" si="95"/>
        <v>1</v>
      </c>
      <c r="BX22" s="29">
        <f t="shared" si="21"/>
        <v>0.8831557922769641</v>
      </c>
      <c r="BY22" s="29">
        <f t="shared" si="22"/>
        <v>0.005757196495619525</v>
      </c>
      <c r="BZ22" s="29">
        <f t="shared" si="23"/>
        <v>0.06286779129070225</v>
      </c>
      <c r="CA22" s="29">
        <f t="shared" si="24"/>
        <v>0.1329157967988866</v>
      </c>
      <c r="CB22" s="29">
        <f t="shared" si="25"/>
        <v>0</v>
      </c>
      <c r="CC22" s="29">
        <f t="shared" si="26"/>
        <v>0.7009925558312655</v>
      </c>
      <c r="CD22" s="29">
        <f t="shared" si="27"/>
        <v>0.0344151212553495</v>
      </c>
      <c r="CE22" s="29">
        <f t="shared" si="28"/>
        <v>0.00467892868667312</v>
      </c>
      <c r="CF22" s="29">
        <f t="shared" si="29"/>
        <v>0</v>
      </c>
      <c r="CG22" s="29">
        <f t="shared" si="30"/>
        <v>0</v>
      </c>
      <c r="CH22" s="29">
        <f t="shared" si="31"/>
        <v>0.00026316101111723694</v>
      </c>
      <c r="CI22" s="29">
        <f t="shared" si="32"/>
        <v>1.8250463436465776</v>
      </c>
      <c r="CK22" s="29">
        <f t="shared" si="33"/>
        <v>0.802725522525892</v>
      </c>
      <c r="CM22" s="29">
        <f t="shared" si="101"/>
        <v>1.7663115845539281</v>
      </c>
      <c r="CN22" s="29">
        <f t="shared" si="101"/>
        <v>0.01151439299123905</v>
      </c>
      <c r="CO22" s="29">
        <f t="shared" si="35"/>
        <v>0.18860337387210674</v>
      </c>
      <c r="CP22" s="29">
        <f t="shared" si="102"/>
        <v>0.1329157967988866</v>
      </c>
      <c r="CQ22" s="29">
        <f t="shared" si="102"/>
        <v>0</v>
      </c>
      <c r="CR22" s="29">
        <f t="shared" si="102"/>
        <v>0.7009925558312655</v>
      </c>
      <c r="CS22" s="29">
        <f t="shared" si="102"/>
        <v>0.0344151212553495</v>
      </c>
      <c r="CT22" s="29">
        <f t="shared" si="102"/>
        <v>0.00467892868667312</v>
      </c>
      <c r="CU22" s="29">
        <f t="shared" si="102"/>
        <v>0</v>
      </c>
      <c r="CV22" s="29">
        <f t="shared" si="100"/>
        <v>0</v>
      </c>
      <c r="CW22" s="29">
        <f t="shared" si="37"/>
        <v>0.0007894830333517108</v>
      </c>
      <c r="CX22" s="29">
        <f t="shared" si="38"/>
        <v>2.8402212370228006</v>
      </c>
      <c r="CY22" s="29">
        <f t="shared" si="39"/>
        <v>2.1125114909320826</v>
      </c>
      <c r="CZ22" s="29">
        <f t="shared" si="40"/>
        <v>1.865676759468314</v>
      </c>
      <c r="DA22" s="29">
        <f t="shared" si="41"/>
        <v>0.012162143752550163</v>
      </c>
      <c r="DB22" s="29">
        <f t="shared" si="42"/>
        <v>0.2656178630222568</v>
      </c>
      <c r="DC22" s="29">
        <f t="shared" si="43"/>
        <v>1.877838903220864</v>
      </c>
      <c r="DD22" s="29">
        <f t="shared" si="44"/>
        <v>0.1343232405316861</v>
      </c>
      <c r="DE22" s="29">
        <f t="shared" si="45"/>
        <v>0.13129462249057072</v>
      </c>
      <c r="DF22" s="29">
        <f t="shared" si="46"/>
        <v>0.2807861480640417</v>
      </c>
      <c r="DG22" s="29">
        <f t="shared" si="47"/>
        <v>0</v>
      </c>
      <c r="DH22" s="29">
        <f t="shared" si="48"/>
        <v>1.4808548292513979</v>
      </c>
      <c r="DI22" s="29">
        <f t="shared" si="49"/>
        <v>0.07270233911374678</v>
      </c>
      <c r="DJ22" s="29">
        <f t="shared" si="50"/>
        <v>0.019768581231697446</v>
      </c>
      <c r="DK22" s="29">
        <f t="shared" si="51"/>
        <v>0</v>
      </c>
      <c r="DL22" s="29">
        <f t="shared" si="52"/>
        <v>0</v>
      </c>
      <c r="DM22" s="29">
        <f t="shared" si="53"/>
        <v>0.0011118613199009371</v>
      </c>
      <c r="DN22" s="31">
        <f t="shared" si="54"/>
        <v>3.9986805252239055</v>
      </c>
      <c r="DP22" s="29">
        <f t="shared" si="55"/>
        <v>0.019768581231697446</v>
      </c>
      <c r="DQ22" s="29">
        <f t="shared" si="56"/>
        <v>0.012162143752550163</v>
      </c>
      <c r="DR22" s="29">
        <f t="shared" si="57"/>
        <v>0.0011118613199009371</v>
      </c>
      <c r="DS22" s="31">
        <f t="shared" si="58"/>
        <v>0.11041417993897235</v>
      </c>
      <c r="DT22" s="29">
        <f t="shared" si="59"/>
        <v>0.07270233911374678</v>
      </c>
      <c r="DU22" s="29">
        <f t="shared" si="60"/>
        <v>0.7831811572550852</v>
      </c>
      <c r="DV22" s="29">
        <f t="shared" si="61"/>
        <v>0.9993402626119529</v>
      </c>
      <c r="DW22" s="29">
        <f t="shared" si="62"/>
        <v>5.102909077829122</v>
      </c>
      <c r="DX22" s="29">
        <f t="shared" si="63"/>
        <v>3.665591536586523</v>
      </c>
      <c r="EA22" s="29">
        <f t="shared" si="64"/>
        <v>0.4367377408211446</v>
      </c>
      <c r="EB22" s="29">
        <f t="shared" si="65"/>
        <v>0.21470023743882594</v>
      </c>
      <c r="EC22" s="29">
        <f t="shared" si="66"/>
        <v>-0.8941606258300887</v>
      </c>
      <c r="ED22" s="29">
        <f t="shared" si="67"/>
        <v>4.250656189224811</v>
      </c>
      <c r="EE22" s="29">
        <f t="shared" si="96"/>
        <v>16314.989656499569</v>
      </c>
      <c r="EF22" s="29">
        <f t="shared" si="97"/>
        <v>10.266536664379508</v>
      </c>
      <c r="EG22" s="29">
        <f t="shared" si="98"/>
        <v>1589.1424917524141</v>
      </c>
      <c r="EH22" s="29">
        <f t="shared" si="68"/>
        <v>1300</v>
      </c>
      <c r="EI22" s="29">
        <f t="shared" si="69"/>
        <v>1251.1627707370908</v>
      </c>
      <c r="EK22" s="29">
        <f t="shared" si="70"/>
        <v>1.5754712770453962</v>
      </c>
      <c r="EL22" s="29">
        <f t="shared" si="71"/>
        <v>1.5</v>
      </c>
      <c r="EM22" s="31">
        <f t="shared" si="72"/>
        <v>14.32511147843178</v>
      </c>
      <c r="EN22" s="31">
        <f t="shared" si="73"/>
        <v>14.170079460101988</v>
      </c>
      <c r="EO22" s="31">
        <f t="shared" si="74"/>
        <v>6.515586662942368</v>
      </c>
      <c r="EP22" s="31">
        <f t="shared" si="75"/>
        <v>0.6120012829223521</v>
      </c>
      <c r="EQ22" s="31">
        <f t="shared" si="76"/>
        <v>1259.0856017905421</v>
      </c>
    </row>
    <row r="23" spans="1:147" s="29" customFormat="1" ht="12.75">
      <c r="A23" s="29" t="s">
        <v>33</v>
      </c>
      <c r="B23" s="29">
        <v>147</v>
      </c>
      <c r="C23" s="30">
        <v>2.2</v>
      </c>
      <c r="D23" s="37">
        <v>1433</v>
      </c>
      <c r="F23" s="38">
        <v>1856</v>
      </c>
      <c r="G23" s="30">
        <v>48.5</v>
      </c>
      <c r="H23" s="30">
        <v>1.72</v>
      </c>
      <c r="I23" s="30">
        <v>10.93</v>
      </c>
      <c r="J23" s="30">
        <v>11.78</v>
      </c>
      <c r="K23" s="30">
        <v>0.09</v>
      </c>
      <c r="L23" s="30">
        <v>16.06</v>
      </c>
      <c r="M23" s="30">
        <v>8.55</v>
      </c>
      <c r="N23" s="30">
        <v>1.59</v>
      </c>
      <c r="O23" s="30">
        <v>0.22</v>
      </c>
      <c r="P23" s="30">
        <v>0</v>
      </c>
      <c r="Q23" s="30">
        <v>0.01</v>
      </c>
      <c r="R23" s="30">
        <v>0.23</v>
      </c>
      <c r="S23" s="30">
        <v>0</v>
      </c>
      <c r="T23" s="29">
        <f t="shared" si="77"/>
        <v>99.68</v>
      </c>
      <c r="V23" s="30">
        <v>55.6</v>
      </c>
      <c r="W23" s="30">
        <v>0.22</v>
      </c>
      <c r="X23" s="30">
        <v>3.08</v>
      </c>
      <c r="Y23" s="30">
        <v>7.95</v>
      </c>
      <c r="Z23" s="30">
        <v>0.13</v>
      </c>
      <c r="AA23" s="30">
        <v>31.9</v>
      </c>
      <c r="AB23" s="30">
        <v>1.88</v>
      </c>
      <c r="AC23" s="30">
        <v>0.07</v>
      </c>
      <c r="AD23" s="30">
        <v>0</v>
      </c>
      <c r="AE23" s="30">
        <v>0</v>
      </c>
      <c r="AF23" s="30">
        <v>0.01</v>
      </c>
      <c r="AG23" s="30">
        <v>0</v>
      </c>
      <c r="AH23" s="29">
        <f t="shared" si="78"/>
        <v>100.83999999999999</v>
      </c>
      <c r="AJ23" s="40">
        <f t="shared" si="79"/>
        <v>1485.1140391311164</v>
      </c>
      <c r="AK23" s="41">
        <f t="shared" si="0"/>
        <v>1478.3652303898125</v>
      </c>
      <c r="AL23" s="40">
        <f t="shared" si="1"/>
        <v>1480.4661415068701</v>
      </c>
      <c r="AN23" s="40">
        <f t="shared" si="2"/>
        <v>1.6638907347275527</v>
      </c>
      <c r="AO23" s="40">
        <f t="shared" si="3"/>
        <v>2.0220658834126035</v>
      </c>
      <c r="AP23" s="40">
        <f t="shared" si="4"/>
        <v>2.213443850159623</v>
      </c>
      <c r="AQ23" s="64"/>
      <c r="AR23" s="71">
        <f t="shared" si="5"/>
        <v>0.3397634798899362</v>
      </c>
      <c r="AT23" s="29">
        <f t="shared" si="6"/>
        <v>0.13978311660264006</v>
      </c>
      <c r="AU23" s="29">
        <f t="shared" si="7"/>
        <v>0.41141301192206337</v>
      </c>
      <c r="AV23" s="29">
        <f t="shared" si="80"/>
        <v>70.85098348627233</v>
      </c>
      <c r="AW23" s="29">
        <f t="shared" si="81"/>
        <v>87.73598989435001</v>
      </c>
      <c r="AX23" s="29">
        <f t="shared" si="8"/>
        <v>0.8072569906790945</v>
      </c>
      <c r="AY23" s="29">
        <f t="shared" si="9"/>
        <v>0.02152690863579474</v>
      </c>
      <c r="AZ23" s="29">
        <f t="shared" si="10"/>
        <v>0.21439780306002354</v>
      </c>
      <c r="BA23" s="29">
        <f t="shared" si="11"/>
        <v>0.1639526791927627</v>
      </c>
      <c r="BB23" s="29">
        <f t="shared" si="12"/>
        <v>0.001268677755850014</v>
      </c>
      <c r="BC23" s="29">
        <f t="shared" si="13"/>
        <v>0.39851116625310173</v>
      </c>
      <c r="BD23" s="29">
        <f t="shared" si="14"/>
        <v>0.15246077032810273</v>
      </c>
      <c r="BE23" s="29">
        <f t="shared" si="15"/>
        <v>0.051306873184898356</v>
      </c>
      <c r="BF23" s="29">
        <f t="shared" si="16"/>
        <v>0.004670912951167728</v>
      </c>
      <c r="BG23" s="29">
        <f t="shared" si="17"/>
        <v>0</v>
      </c>
      <c r="BH23" s="29">
        <f t="shared" si="18"/>
        <v>0.00013158050555861847</v>
      </c>
      <c r="BI23" s="29">
        <f t="shared" si="19"/>
        <v>0.0016204372362386128</v>
      </c>
      <c r="BJ23" s="29">
        <f t="shared" si="82"/>
        <v>1.8171047997825933</v>
      </c>
      <c r="BK23" s="29">
        <f t="shared" si="83"/>
        <v>0.4442545035243308</v>
      </c>
      <c r="BL23" s="29">
        <f t="shared" si="84"/>
        <v>0.011846817331818351</v>
      </c>
      <c r="BM23" s="29">
        <f t="shared" si="85"/>
        <v>0.11798868347366374</v>
      </c>
      <c r="BN23" s="29">
        <f t="shared" si="86"/>
        <v>0.09022742068172335</v>
      </c>
      <c r="BO23" s="29">
        <f t="shared" si="87"/>
        <v>0.0006981863434634064</v>
      </c>
      <c r="BP23" s="29">
        <f t="shared" si="88"/>
        <v>0.21931105256052452</v>
      </c>
      <c r="BQ23" s="29">
        <f t="shared" si="89"/>
        <v>0.08390312454534479</v>
      </c>
      <c r="BR23" s="29">
        <f t="shared" si="90"/>
        <v>0.028235505839309293</v>
      </c>
      <c r="BS23" s="29">
        <f t="shared" si="91"/>
        <v>0.002570524799519861</v>
      </c>
      <c r="BT23" s="29">
        <f t="shared" si="92"/>
        <v>0</v>
      </c>
      <c r="BU23" s="29">
        <f t="shared" si="93"/>
        <v>7.241217214018771E-05</v>
      </c>
      <c r="BV23" s="29">
        <f t="shared" si="94"/>
        <v>0.000891768728161683</v>
      </c>
      <c r="BW23" s="29">
        <f t="shared" si="95"/>
        <v>1</v>
      </c>
      <c r="BX23" s="29">
        <f t="shared" si="21"/>
        <v>0.9254327563249002</v>
      </c>
      <c r="BY23" s="29">
        <f t="shared" si="22"/>
        <v>0.002753441802252816</v>
      </c>
      <c r="BZ23" s="29">
        <f t="shared" si="23"/>
        <v>0.030207924676343666</v>
      </c>
      <c r="CA23" s="29">
        <f t="shared" si="24"/>
        <v>0.1106471816283925</v>
      </c>
      <c r="CB23" s="29">
        <f t="shared" si="25"/>
        <v>0.0018325345362277983</v>
      </c>
      <c r="CC23" s="29">
        <f t="shared" si="26"/>
        <v>0.7915632754342432</v>
      </c>
      <c r="CD23" s="29">
        <f t="shared" si="27"/>
        <v>0.033523537803138374</v>
      </c>
      <c r="CE23" s="29">
        <f t="shared" si="28"/>
        <v>0.0011293965795417878</v>
      </c>
      <c r="CF23" s="29">
        <f t="shared" si="29"/>
        <v>0</v>
      </c>
      <c r="CG23" s="29">
        <f t="shared" si="30"/>
        <v>0</v>
      </c>
      <c r="CH23" s="29">
        <f t="shared" si="31"/>
        <v>6.579025277930924E-05</v>
      </c>
      <c r="CI23" s="29">
        <f t="shared" si="32"/>
        <v>1.8971558390378198</v>
      </c>
      <c r="CK23" s="29">
        <f t="shared" si="33"/>
        <v>0.8431993569246301</v>
      </c>
      <c r="CM23" s="29">
        <f aca="true" t="shared" si="104" ref="CM23:CN25">2*BX23</f>
        <v>1.8508655126498004</v>
      </c>
      <c r="CN23" s="29">
        <f t="shared" si="104"/>
        <v>0.005506883604505632</v>
      </c>
      <c r="CO23" s="29">
        <f t="shared" si="35"/>
        <v>0.09062377402903099</v>
      </c>
      <c r="CP23" s="29">
        <f aca="true" t="shared" si="105" ref="CP23:CR25">CA23</f>
        <v>0.1106471816283925</v>
      </c>
      <c r="CQ23" s="29">
        <f t="shared" si="105"/>
        <v>0.0018325345362277983</v>
      </c>
      <c r="CR23" s="29">
        <f t="shared" si="105"/>
        <v>0.7915632754342432</v>
      </c>
      <c r="CS23" s="29">
        <f aca="true" t="shared" si="106" ref="CS23:CU29">CD23</f>
        <v>0.033523537803138374</v>
      </c>
      <c r="CT23" s="29">
        <f t="shared" si="106"/>
        <v>0.0011293965795417878</v>
      </c>
      <c r="CU23" s="29">
        <f t="shared" si="106"/>
        <v>0</v>
      </c>
      <c r="CV23" s="29">
        <f t="shared" si="100"/>
        <v>0</v>
      </c>
      <c r="CW23" s="29">
        <f t="shared" si="37"/>
        <v>0.0001973707583379277</v>
      </c>
      <c r="CX23" s="29">
        <f t="shared" si="38"/>
        <v>2.885889467023219</v>
      </c>
      <c r="CY23" s="29">
        <f t="shared" si="39"/>
        <v>2.079081707238417</v>
      </c>
      <c r="CZ23" s="29">
        <f t="shared" si="40"/>
        <v>1.9240503149543275</v>
      </c>
      <c r="DA23" s="29">
        <f t="shared" si="41"/>
        <v>0.005724630483009409</v>
      </c>
      <c r="DB23" s="29">
        <f t="shared" si="42"/>
        <v>0.1256094872164442</v>
      </c>
      <c r="DC23" s="29">
        <f t="shared" si="43"/>
        <v>1.929774945437337</v>
      </c>
      <c r="DD23" s="29">
        <f t="shared" si="44"/>
        <v>0.07594968504567245</v>
      </c>
      <c r="DE23" s="29">
        <f t="shared" si="45"/>
        <v>0.04965980217077173</v>
      </c>
      <c r="DF23" s="29">
        <f t="shared" si="46"/>
        <v>0.2300445312810775</v>
      </c>
      <c r="DG23" s="29">
        <f t="shared" si="47"/>
        <v>0.003809989032153852</v>
      </c>
      <c r="DH23" s="29">
        <f t="shared" si="48"/>
        <v>1.6457247260770598</v>
      </c>
      <c r="DI23" s="29">
        <f t="shared" si="49"/>
        <v>0.06969817420842055</v>
      </c>
      <c r="DJ23" s="29">
        <f t="shared" si="50"/>
        <v>0.004696215537485938</v>
      </c>
      <c r="DK23" s="29">
        <f t="shared" si="51"/>
        <v>0</v>
      </c>
      <c r="DL23" s="29">
        <f t="shared" si="52"/>
        <v>0</v>
      </c>
      <c r="DM23" s="29">
        <f t="shared" si="53"/>
        <v>0.0002735666221361065</v>
      </c>
      <c r="DN23" s="31">
        <f t="shared" si="54"/>
        <v>4.009631635412115</v>
      </c>
      <c r="DP23" s="29">
        <f t="shared" si="55"/>
        <v>0.004696215537485938</v>
      </c>
      <c r="DQ23" s="29">
        <f t="shared" si="56"/>
        <v>0.005724630483009409</v>
      </c>
      <c r="DR23" s="29">
        <f t="shared" si="57"/>
        <v>0.0002735666221361065</v>
      </c>
      <c r="DS23" s="31">
        <f t="shared" si="58"/>
        <v>0.04469002001114969</v>
      </c>
      <c r="DT23" s="29">
        <f t="shared" si="59"/>
        <v>0.06969817420842055</v>
      </c>
      <c r="DU23" s="29">
        <f t="shared" si="60"/>
        <v>0.8797332108438557</v>
      </c>
      <c r="DV23" s="29">
        <f t="shared" si="61"/>
        <v>1.0048158177060573</v>
      </c>
      <c r="DW23" s="29">
        <f t="shared" si="62"/>
        <v>3.835418471776837</v>
      </c>
      <c r="DX23" s="29">
        <f t="shared" si="63"/>
        <v>3.1481055848757706</v>
      </c>
      <c r="EA23" s="29">
        <f t="shared" si="64"/>
        <v>0.4442545035243308</v>
      </c>
      <c r="EB23" s="29">
        <f t="shared" si="65"/>
        <v>0.3941397841310561</v>
      </c>
      <c r="EC23" s="29">
        <f t="shared" si="66"/>
        <v>-0.5228492243118789</v>
      </c>
      <c r="ED23" s="29">
        <f t="shared" si="67"/>
        <v>1.988011040315318</v>
      </c>
      <c r="EE23" s="29">
        <f t="shared" si="96"/>
        <v>16862.232993360918</v>
      </c>
      <c r="EF23" s="29">
        <f t="shared" si="97"/>
        <v>9.590273484575018</v>
      </c>
      <c r="EG23" s="29">
        <f t="shared" si="98"/>
        <v>1758.2640391311165</v>
      </c>
      <c r="EH23" s="29">
        <f t="shared" si="68"/>
        <v>1433</v>
      </c>
      <c r="EI23" s="29">
        <f t="shared" si="69"/>
        <v>1477.8463101154114</v>
      </c>
      <c r="EK23" s="29">
        <f t="shared" si="70"/>
        <v>1.829671513311307</v>
      </c>
      <c r="EL23" s="29">
        <f t="shared" si="71"/>
        <v>2.2</v>
      </c>
      <c r="EM23" s="31">
        <f t="shared" si="72"/>
        <v>18.37486299970882</v>
      </c>
      <c r="EN23" s="31">
        <f t="shared" si="73"/>
        <v>18.220113975211007</v>
      </c>
      <c r="EO23" s="31">
        <f t="shared" si="74"/>
        <v>21.483216540420987</v>
      </c>
      <c r="EP23" s="31">
        <f t="shared" si="75"/>
        <v>0.7085098348627232</v>
      </c>
      <c r="EQ23" s="31">
        <f t="shared" si="76"/>
        <v>1480.4661415068701</v>
      </c>
    </row>
    <row r="24" spans="1:147" s="29" customFormat="1" ht="12.75">
      <c r="A24" s="29" t="s">
        <v>33</v>
      </c>
      <c r="B24" s="29">
        <v>9</v>
      </c>
      <c r="C24" s="30">
        <v>1.95</v>
      </c>
      <c r="D24" s="37">
        <v>1360</v>
      </c>
      <c r="F24" s="38">
        <v>1855</v>
      </c>
      <c r="G24" s="30">
        <v>45.3</v>
      </c>
      <c r="H24" s="30">
        <v>3.6</v>
      </c>
      <c r="I24" s="30">
        <v>14.48</v>
      </c>
      <c r="J24" s="30">
        <v>13.8</v>
      </c>
      <c r="K24" s="30">
        <v>0.15</v>
      </c>
      <c r="L24" s="30">
        <v>9.8</v>
      </c>
      <c r="M24" s="30">
        <v>9</v>
      </c>
      <c r="N24" s="30">
        <v>2.8</v>
      </c>
      <c r="O24" s="30">
        <v>0.59</v>
      </c>
      <c r="P24" s="30">
        <v>0</v>
      </c>
      <c r="Q24" s="30">
        <v>0</v>
      </c>
      <c r="R24" s="30">
        <v>0.48</v>
      </c>
      <c r="S24" s="30">
        <v>0</v>
      </c>
      <c r="T24" s="29">
        <f t="shared" si="77"/>
        <v>100</v>
      </c>
      <c r="V24" s="30">
        <v>52.2</v>
      </c>
      <c r="W24" s="30">
        <v>0.44</v>
      </c>
      <c r="X24" s="30">
        <v>7.2</v>
      </c>
      <c r="Y24" s="30">
        <v>12.1</v>
      </c>
      <c r="Z24" s="30">
        <v>0.1</v>
      </c>
      <c r="AA24" s="30">
        <v>26.6</v>
      </c>
      <c r="AB24" s="30">
        <v>2.1</v>
      </c>
      <c r="AC24" s="30">
        <v>0.24</v>
      </c>
      <c r="AD24" s="30">
        <v>0</v>
      </c>
      <c r="AE24" s="30">
        <v>0</v>
      </c>
      <c r="AF24" s="30">
        <v>0.01</v>
      </c>
      <c r="AG24" s="30">
        <v>0</v>
      </c>
      <c r="AH24" s="29">
        <f t="shared" si="78"/>
        <v>100.98999999999998</v>
      </c>
      <c r="AJ24" s="40">
        <f t="shared" si="79"/>
        <v>1349.9858763691286</v>
      </c>
      <c r="AK24" s="41">
        <f t="shared" si="0"/>
        <v>1356.8611333035735</v>
      </c>
      <c r="AL24" s="40">
        <f t="shared" si="1"/>
        <v>1352.6343055289155</v>
      </c>
      <c r="AN24" s="40">
        <f t="shared" si="2"/>
        <v>1.8087460815031993</v>
      </c>
      <c r="AO24" s="40">
        <f t="shared" si="3"/>
        <v>1.8525840174887283</v>
      </c>
      <c r="AP24" s="40">
        <f t="shared" si="4"/>
        <v>1.524045836908265</v>
      </c>
      <c r="AQ24" s="64"/>
      <c r="AR24" s="71">
        <f t="shared" si="5"/>
        <v>0.3230358504958047</v>
      </c>
      <c r="AT24" s="29">
        <f t="shared" si="6"/>
        <v>0.255142030441448</v>
      </c>
      <c r="AU24" s="29">
        <f t="shared" si="7"/>
        <v>0.7898257424055216</v>
      </c>
      <c r="AV24" s="29">
        <f t="shared" si="80"/>
        <v>55.871360898855</v>
      </c>
      <c r="AW24" s="29">
        <f t="shared" si="81"/>
        <v>79.67225825815811</v>
      </c>
      <c r="AX24" s="29">
        <f t="shared" si="8"/>
        <v>0.7539946737683089</v>
      </c>
      <c r="AY24" s="29">
        <f t="shared" si="9"/>
        <v>0.04505632040050062</v>
      </c>
      <c r="AZ24" s="29">
        <f t="shared" si="10"/>
        <v>0.28403295409964696</v>
      </c>
      <c r="BA24" s="29">
        <f t="shared" si="11"/>
        <v>0.1920668058455115</v>
      </c>
      <c r="BB24" s="29">
        <f t="shared" si="12"/>
        <v>0.00211446292641669</v>
      </c>
      <c r="BC24" s="29">
        <f t="shared" si="13"/>
        <v>0.24317617866004967</v>
      </c>
      <c r="BD24" s="29">
        <f t="shared" si="14"/>
        <v>0.16048502139800286</v>
      </c>
      <c r="BE24" s="29">
        <f t="shared" si="15"/>
        <v>0.09035172636334302</v>
      </c>
      <c r="BF24" s="29">
        <f t="shared" si="16"/>
        <v>0.012526539278131634</v>
      </c>
      <c r="BG24" s="29">
        <f t="shared" si="17"/>
        <v>0</v>
      </c>
      <c r="BH24" s="29">
        <f t="shared" si="18"/>
        <v>0</v>
      </c>
      <c r="BI24" s="29">
        <f t="shared" si="19"/>
        <v>0.0033817820582371047</v>
      </c>
      <c r="BJ24" s="29">
        <f t="shared" si="82"/>
        <v>1.7871864647981492</v>
      </c>
      <c r="BK24" s="29">
        <f t="shared" si="83"/>
        <v>0.42188920329220797</v>
      </c>
      <c r="BL24" s="29">
        <f t="shared" si="84"/>
        <v>0.025210755166271602</v>
      </c>
      <c r="BM24" s="29">
        <f t="shared" si="85"/>
        <v>0.15892743129728581</v>
      </c>
      <c r="BN24" s="29">
        <f t="shared" si="86"/>
        <v>0.10746881180481868</v>
      </c>
      <c r="BO24" s="29">
        <f t="shared" si="87"/>
        <v>0.001183123847491484</v>
      </c>
      <c r="BP24" s="29">
        <f t="shared" si="88"/>
        <v>0.13606648407977665</v>
      </c>
      <c r="BQ24" s="29">
        <f t="shared" si="89"/>
        <v>0.0897975810353558</v>
      </c>
      <c r="BR24" s="29">
        <f t="shared" si="90"/>
        <v>0.050555287958465846</v>
      </c>
      <c r="BS24" s="29">
        <f t="shared" si="91"/>
        <v>0.007009083565069648</v>
      </c>
      <c r="BT24" s="29">
        <f t="shared" si="92"/>
        <v>0</v>
      </c>
      <c r="BU24" s="29">
        <f t="shared" si="93"/>
        <v>0</v>
      </c>
      <c r="BV24" s="29">
        <f t="shared" si="94"/>
        <v>0.0018922379532563516</v>
      </c>
      <c r="BW24" s="29">
        <f t="shared" si="95"/>
        <v>0.9999999999999999</v>
      </c>
      <c r="BX24" s="29">
        <f t="shared" si="21"/>
        <v>0.8688415446071904</v>
      </c>
      <c r="BY24" s="29">
        <f t="shared" si="22"/>
        <v>0.005506883604505632</v>
      </c>
      <c r="BZ24" s="29">
        <f t="shared" si="23"/>
        <v>0.07061592781482935</v>
      </c>
      <c r="CA24" s="29">
        <f t="shared" si="24"/>
        <v>0.1684064022268615</v>
      </c>
      <c r="CB24" s="29">
        <f t="shared" si="25"/>
        <v>0.0014096419509444602</v>
      </c>
      <c r="CC24" s="29">
        <f t="shared" si="26"/>
        <v>0.6600496277915634</v>
      </c>
      <c r="CD24" s="29">
        <f t="shared" si="27"/>
        <v>0.037446504992867335</v>
      </c>
      <c r="CE24" s="29">
        <f t="shared" si="28"/>
        <v>0.003872216844143272</v>
      </c>
      <c r="CF24" s="29">
        <f t="shared" si="29"/>
        <v>0</v>
      </c>
      <c r="CG24" s="29">
        <f t="shared" si="30"/>
        <v>0</v>
      </c>
      <c r="CH24" s="29">
        <f t="shared" si="31"/>
        <v>6.579025277930924E-05</v>
      </c>
      <c r="CI24" s="29">
        <f t="shared" si="32"/>
        <v>1.8162145400856846</v>
      </c>
      <c r="CK24" s="29">
        <f t="shared" si="33"/>
        <v>0.7575890827550689</v>
      </c>
      <c r="CM24" s="29">
        <f t="shared" si="104"/>
        <v>1.7376830892143809</v>
      </c>
      <c r="CN24" s="29">
        <f t="shared" si="104"/>
        <v>0.011013767209011264</v>
      </c>
      <c r="CO24" s="29">
        <f t="shared" si="35"/>
        <v>0.21184778344448807</v>
      </c>
      <c r="CP24" s="29">
        <f t="shared" si="105"/>
        <v>0.1684064022268615</v>
      </c>
      <c r="CQ24" s="29">
        <f t="shared" si="105"/>
        <v>0.0014096419509444602</v>
      </c>
      <c r="CR24" s="29">
        <f t="shared" si="105"/>
        <v>0.6600496277915634</v>
      </c>
      <c r="CS24" s="29">
        <f t="shared" si="106"/>
        <v>0.037446504992867335</v>
      </c>
      <c r="CT24" s="29">
        <f t="shared" si="106"/>
        <v>0.003872216844143272</v>
      </c>
      <c r="CU24" s="29">
        <f t="shared" si="106"/>
        <v>0</v>
      </c>
      <c r="CV24" s="29">
        <f t="shared" si="100"/>
        <v>0</v>
      </c>
      <c r="CW24" s="29">
        <f t="shared" si="37"/>
        <v>0.0001973707583379277</v>
      </c>
      <c r="CX24" s="29">
        <f t="shared" si="38"/>
        <v>2.8319264044325982</v>
      </c>
      <c r="CY24" s="29">
        <f t="shared" si="39"/>
        <v>2.11869912671765</v>
      </c>
      <c r="CZ24" s="29">
        <f t="shared" si="40"/>
        <v>1.8408138218152685</v>
      </c>
      <c r="DA24" s="29">
        <f t="shared" si="41"/>
        <v>0.011667429483801827</v>
      </c>
      <c r="DB24" s="29">
        <f t="shared" si="42"/>
        <v>0.2992278091872711</v>
      </c>
      <c r="DC24" s="29">
        <f t="shared" si="43"/>
        <v>1.8524812512990703</v>
      </c>
      <c r="DD24" s="29">
        <f t="shared" si="44"/>
        <v>0.15918617818473146</v>
      </c>
      <c r="DE24" s="29">
        <f t="shared" si="45"/>
        <v>0.14004163100253963</v>
      </c>
      <c r="DF24" s="29">
        <f t="shared" si="46"/>
        <v>0.3568024973317128</v>
      </c>
      <c r="DG24" s="29">
        <f t="shared" si="47"/>
        <v>0.0029866071704505925</v>
      </c>
      <c r="DH24" s="29">
        <f t="shared" si="48"/>
        <v>1.3984465699922952</v>
      </c>
      <c r="DI24" s="29">
        <f t="shared" si="49"/>
        <v>0.07933787742701615</v>
      </c>
      <c r="DJ24" s="29">
        <f t="shared" si="50"/>
        <v>0.016408124892295452</v>
      </c>
      <c r="DK24" s="29">
        <f t="shared" si="51"/>
        <v>0</v>
      </c>
      <c r="DL24" s="29">
        <f t="shared" si="52"/>
        <v>0</v>
      </c>
      <c r="DM24" s="29">
        <f t="shared" si="53"/>
        <v>0.00027877950222011185</v>
      </c>
      <c r="DN24" s="31">
        <f t="shared" si="54"/>
        <v>4.005969516802332</v>
      </c>
      <c r="DP24" s="29">
        <f t="shared" si="55"/>
        <v>0.016408124892295452</v>
      </c>
      <c r="DQ24" s="29">
        <f t="shared" si="56"/>
        <v>0.011667429483801827</v>
      </c>
      <c r="DR24" s="29">
        <f t="shared" si="57"/>
        <v>0.00027877950222011185</v>
      </c>
      <c r="DS24" s="31">
        <f t="shared" si="58"/>
        <v>0.12335472660802407</v>
      </c>
      <c r="DT24" s="29">
        <f t="shared" si="59"/>
        <v>0.07933787742701615</v>
      </c>
      <c r="DU24" s="29">
        <f t="shared" si="60"/>
        <v>0.7719378204878082</v>
      </c>
      <c r="DV24" s="29">
        <f t="shared" si="61"/>
        <v>1.002984758401166</v>
      </c>
      <c r="DW24" s="29">
        <f t="shared" si="62"/>
        <v>4.282467899334177</v>
      </c>
      <c r="DX24" s="29">
        <f t="shared" si="63"/>
        <v>3.8565836451673103</v>
      </c>
      <c r="EA24" s="29">
        <f t="shared" si="64"/>
        <v>0.42188920329220797</v>
      </c>
      <c r="EB24" s="29">
        <f t="shared" si="65"/>
        <v>0.3345160007674426</v>
      </c>
      <c r="EC24" s="29">
        <f t="shared" si="66"/>
        <v>-0.7845086029671375</v>
      </c>
      <c r="ED24" s="29">
        <f t="shared" si="67"/>
        <v>2.884413345258863</v>
      </c>
      <c r="EE24" s="29">
        <f t="shared" si="96"/>
        <v>16666.788944481865</v>
      </c>
      <c r="EF24" s="29">
        <f t="shared" si="97"/>
        <v>10.268264775075156</v>
      </c>
      <c r="EG24" s="29">
        <f t="shared" si="98"/>
        <v>1623.1358763691285</v>
      </c>
      <c r="EH24" s="29">
        <f t="shared" si="68"/>
        <v>1360</v>
      </c>
      <c r="EI24" s="29">
        <f t="shared" si="69"/>
        <v>1356.4468713941378</v>
      </c>
      <c r="EK24" s="29">
        <f t="shared" si="70"/>
        <v>1.8623556068374152</v>
      </c>
      <c r="EL24" s="29">
        <f t="shared" si="71"/>
        <v>1.95</v>
      </c>
      <c r="EM24" s="31">
        <f t="shared" si="72"/>
        <v>15.55455471327007</v>
      </c>
      <c r="EN24" s="31">
        <f t="shared" si="73"/>
        <v>15.3960362262942</v>
      </c>
      <c r="EO24" s="31">
        <f t="shared" si="74"/>
        <v>7.6578097102604135</v>
      </c>
      <c r="EP24" s="31">
        <f t="shared" si="75"/>
        <v>0.55871360898855</v>
      </c>
      <c r="EQ24" s="31">
        <f t="shared" si="76"/>
        <v>1352.6343055289155</v>
      </c>
    </row>
    <row r="25" spans="1:147" s="29" customFormat="1" ht="12.75">
      <c r="A25" s="29" t="s">
        <v>34</v>
      </c>
      <c r="B25" s="29">
        <v>30.14</v>
      </c>
      <c r="C25" s="30">
        <v>3</v>
      </c>
      <c r="D25" s="37">
        <v>1540</v>
      </c>
      <c r="F25" s="38">
        <v>50006</v>
      </c>
      <c r="G25" s="30">
        <v>46.91</v>
      </c>
      <c r="H25" s="30">
        <v>0.64</v>
      </c>
      <c r="I25" s="30">
        <v>12.46</v>
      </c>
      <c r="J25" s="30">
        <v>8.86</v>
      </c>
      <c r="K25" s="30">
        <v>0.17</v>
      </c>
      <c r="L25" s="30">
        <v>18.22</v>
      </c>
      <c r="M25" s="30">
        <v>10.86</v>
      </c>
      <c r="N25" s="30">
        <v>0.82</v>
      </c>
      <c r="O25" s="30">
        <v>0.34</v>
      </c>
      <c r="P25" s="30">
        <v>0</v>
      </c>
      <c r="Q25" s="30">
        <v>0.43</v>
      </c>
      <c r="R25" s="30">
        <v>0</v>
      </c>
      <c r="S25" s="30">
        <v>0</v>
      </c>
      <c r="T25" s="29">
        <f t="shared" si="77"/>
        <v>99.71000000000001</v>
      </c>
      <c r="V25" s="30">
        <v>53.22</v>
      </c>
      <c r="W25" s="30">
        <v>0.07</v>
      </c>
      <c r="X25" s="30">
        <v>5.28</v>
      </c>
      <c r="Y25" s="30">
        <v>5.13</v>
      </c>
      <c r="Z25" s="30">
        <v>0.13</v>
      </c>
      <c r="AA25" s="30">
        <v>31.79</v>
      </c>
      <c r="AB25" s="30">
        <v>2.56</v>
      </c>
      <c r="AC25" s="30">
        <v>0.13</v>
      </c>
      <c r="AD25" s="30">
        <v>0</v>
      </c>
      <c r="AE25" s="30">
        <v>0</v>
      </c>
      <c r="AF25" s="30">
        <v>0.87</v>
      </c>
      <c r="AG25" s="30">
        <v>0</v>
      </c>
      <c r="AH25" s="29">
        <f t="shared" si="78"/>
        <v>99.18</v>
      </c>
      <c r="AJ25" s="40">
        <f t="shared" si="79"/>
        <v>1554.2525240547116</v>
      </c>
      <c r="AK25" s="41">
        <f t="shared" si="0"/>
        <v>1570.709706618483</v>
      </c>
      <c r="AL25" s="40">
        <f t="shared" si="1"/>
        <v>1508.3954367219837</v>
      </c>
      <c r="AN25" s="40">
        <f t="shared" si="2"/>
        <v>2.10712686832428</v>
      </c>
      <c r="AO25" s="40">
        <f t="shared" si="3"/>
        <v>2.404593525324241</v>
      </c>
      <c r="AP25" s="40">
        <f t="shared" si="4"/>
        <v>3.322648473346522</v>
      </c>
      <c r="AQ25" s="64"/>
      <c r="AR25" s="71">
        <f t="shared" si="5"/>
        <v>0.331849744762646</v>
      </c>
      <c r="AT25" s="29">
        <f t="shared" si="6"/>
        <v>0.09051178105797375</v>
      </c>
      <c r="AU25" s="29">
        <f t="shared" si="7"/>
        <v>0.27274928634557755</v>
      </c>
      <c r="AV25" s="29">
        <f t="shared" si="80"/>
        <v>78.57006959094687</v>
      </c>
      <c r="AW25" s="29">
        <f t="shared" si="81"/>
        <v>91.70006389383867</v>
      </c>
      <c r="AX25" s="29">
        <f t="shared" si="8"/>
        <v>0.7807922769640478</v>
      </c>
      <c r="AY25" s="29">
        <f t="shared" si="9"/>
        <v>0.008010012515644555</v>
      </c>
      <c r="AZ25" s="29">
        <f t="shared" si="10"/>
        <v>0.24440957238132605</v>
      </c>
      <c r="BA25" s="29">
        <f t="shared" si="11"/>
        <v>0.12331245650661099</v>
      </c>
      <c r="BB25" s="29">
        <f t="shared" si="12"/>
        <v>0.0023963913166055823</v>
      </c>
      <c r="BC25" s="29">
        <f t="shared" si="13"/>
        <v>0.4521091811414392</v>
      </c>
      <c r="BD25" s="29">
        <f t="shared" si="14"/>
        <v>0.19365192582025678</v>
      </c>
      <c r="BE25" s="29">
        <f t="shared" si="15"/>
        <v>0.026460148434979024</v>
      </c>
      <c r="BF25" s="29">
        <f t="shared" si="16"/>
        <v>0.007218683651804671</v>
      </c>
      <c r="BG25" s="29">
        <f t="shared" si="17"/>
        <v>0</v>
      </c>
      <c r="BH25" s="29">
        <f t="shared" si="18"/>
        <v>0.005657961739020593</v>
      </c>
      <c r="BI25" s="29">
        <f t="shared" si="19"/>
        <v>0</v>
      </c>
      <c r="BJ25" s="29">
        <f t="shared" si="82"/>
        <v>1.8440186104717355</v>
      </c>
      <c r="BK25" s="29">
        <f t="shared" si="83"/>
        <v>0.4234188703574451</v>
      </c>
      <c r="BL25" s="29">
        <f t="shared" si="84"/>
        <v>0.004343780735268957</v>
      </c>
      <c r="BM25" s="29">
        <f t="shared" si="85"/>
        <v>0.132541814379412</v>
      </c>
      <c r="BN25" s="29">
        <f t="shared" si="86"/>
        <v>0.06687159001885848</v>
      </c>
      <c r="BO25" s="29">
        <f t="shared" si="87"/>
        <v>0.0012995483358991368</v>
      </c>
      <c r="BP25" s="29">
        <f t="shared" si="88"/>
        <v>0.2451760402926633</v>
      </c>
      <c r="BQ25" s="29">
        <f t="shared" si="89"/>
        <v>0.10501625348060717</v>
      </c>
      <c r="BR25" s="29">
        <f t="shared" si="90"/>
        <v>0.014349176458804831</v>
      </c>
      <c r="BS25" s="29">
        <f t="shared" si="91"/>
        <v>0.003914647938373025</v>
      </c>
      <c r="BT25" s="29">
        <f t="shared" si="92"/>
        <v>0</v>
      </c>
      <c r="BU25" s="29">
        <f t="shared" si="93"/>
        <v>0.0030682780026678675</v>
      </c>
      <c r="BV25" s="29">
        <f t="shared" si="94"/>
        <v>0</v>
      </c>
      <c r="BW25" s="29">
        <f t="shared" si="95"/>
        <v>0.9999999999999999</v>
      </c>
      <c r="BX25" s="29">
        <f t="shared" si="21"/>
        <v>0.8858189081225033</v>
      </c>
      <c r="BY25" s="29">
        <f t="shared" si="22"/>
        <v>0.0008760951188986233</v>
      </c>
      <c r="BZ25" s="29">
        <f t="shared" si="23"/>
        <v>0.05178501373087486</v>
      </c>
      <c r="CA25" s="29">
        <f t="shared" si="24"/>
        <v>0.07139874739039666</v>
      </c>
      <c r="CB25" s="29">
        <f t="shared" si="25"/>
        <v>0.0018325345362277983</v>
      </c>
      <c r="CC25" s="29">
        <f t="shared" si="26"/>
        <v>0.788833746898263</v>
      </c>
      <c r="CD25" s="29">
        <f t="shared" si="27"/>
        <v>0.0456490727532097</v>
      </c>
      <c r="CE25" s="29">
        <f t="shared" si="28"/>
        <v>0.002097450790577606</v>
      </c>
      <c r="CF25" s="29">
        <f t="shared" si="29"/>
        <v>0</v>
      </c>
      <c r="CG25" s="29">
        <f t="shared" si="30"/>
        <v>0</v>
      </c>
      <c r="CH25" s="29">
        <f t="shared" si="31"/>
        <v>0.005723751991799903</v>
      </c>
      <c r="CI25" s="29">
        <f t="shared" si="32"/>
        <v>1.8540153213327515</v>
      </c>
      <c r="CK25" s="29">
        <f t="shared" si="33"/>
        <v>0.861609315491426</v>
      </c>
      <c r="CM25" s="29">
        <f t="shared" si="104"/>
        <v>1.7716378162450066</v>
      </c>
      <c r="CN25" s="29">
        <f t="shared" si="104"/>
        <v>0.0017521902377972466</v>
      </c>
      <c r="CO25" s="29">
        <f t="shared" si="35"/>
        <v>0.15535504119262458</v>
      </c>
      <c r="CP25" s="29">
        <f t="shared" si="105"/>
        <v>0.07139874739039666</v>
      </c>
      <c r="CQ25" s="29">
        <f t="shared" si="105"/>
        <v>0.0018325345362277983</v>
      </c>
      <c r="CR25" s="29">
        <f t="shared" si="105"/>
        <v>0.788833746898263</v>
      </c>
      <c r="CS25" s="29">
        <f t="shared" si="106"/>
        <v>0.0456490727532097</v>
      </c>
      <c r="CT25" s="29">
        <f t="shared" si="106"/>
        <v>0.002097450790577606</v>
      </c>
      <c r="CU25" s="29">
        <f t="shared" si="106"/>
        <v>0</v>
      </c>
      <c r="CV25" s="29">
        <f t="shared" si="100"/>
        <v>0</v>
      </c>
      <c r="CW25" s="29">
        <f t="shared" si="37"/>
        <v>0.01717125597539971</v>
      </c>
      <c r="CX25" s="29">
        <f t="shared" si="38"/>
        <v>2.8557278560195036</v>
      </c>
      <c r="CY25" s="29">
        <f t="shared" si="39"/>
        <v>2.1010405411540805</v>
      </c>
      <c r="CZ25" s="29">
        <f t="shared" si="40"/>
        <v>1.861141438086221</v>
      </c>
      <c r="DA25" s="29">
        <f t="shared" si="41"/>
        <v>0.001840711362713212</v>
      </c>
      <c r="DB25" s="29">
        <f t="shared" si="42"/>
        <v>0.2176048265455776</v>
      </c>
      <c r="DC25" s="29">
        <f t="shared" si="43"/>
        <v>1.8629821494489343</v>
      </c>
      <c r="DD25" s="29">
        <f t="shared" si="44"/>
        <v>0.138858561913779</v>
      </c>
      <c r="DE25" s="29">
        <f t="shared" si="45"/>
        <v>0.07874626463179862</v>
      </c>
      <c r="DF25" s="29">
        <f t="shared" si="46"/>
        <v>0.1500116628548425</v>
      </c>
      <c r="DG25" s="29">
        <f t="shared" si="47"/>
        <v>0.0038502293536795953</v>
      </c>
      <c r="DH25" s="29">
        <f t="shared" si="48"/>
        <v>1.6573716824637275</v>
      </c>
      <c r="DI25" s="29">
        <f t="shared" si="49"/>
        <v>0.0959105525205857</v>
      </c>
      <c r="DJ25" s="29">
        <f t="shared" si="50"/>
        <v>0.008813658288158454</v>
      </c>
      <c r="DK25" s="29">
        <f t="shared" si="51"/>
        <v>0</v>
      </c>
      <c r="DL25" s="29">
        <f t="shared" si="52"/>
        <v>0</v>
      </c>
      <c r="DM25" s="29">
        <f t="shared" si="53"/>
        <v>0.024051669964566025</v>
      </c>
      <c r="DN25" s="31">
        <f t="shared" si="54"/>
        <v>4.0205964314400715</v>
      </c>
      <c r="DP25" s="29">
        <f t="shared" si="55"/>
        <v>0.008813658288158454</v>
      </c>
      <c r="DQ25" s="29">
        <f t="shared" si="56"/>
        <v>0.001840711362713212</v>
      </c>
      <c r="DR25" s="29">
        <f t="shared" si="57"/>
        <v>0.024051669964566025</v>
      </c>
      <c r="DS25" s="31">
        <f t="shared" si="58"/>
        <v>0.045880936379074144</v>
      </c>
      <c r="DT25" s="29">
        <f t="shared" si="59"/>
        <v>0.0959105525205857</v>
      </c>
      <c r="DU25" s="29">
        <f t="shared" si="60"/>
        <v>0.8338006872049382</v>
      </c>
      <c r="DV25" s="29">
        <f t="shared" si="61"/>
        <v>1.0102982157200358</v>
      </c>
      <c r="DW25" s="29">
        <f t="shared" si="62"/>
        <v>3.857912828319601</v>
      </c>
      <c r="DX25" s="29">
        <f t="shared" si="63"/>
        <v>2.979845487452463</v>
      </c>
      <c r="EA25" s="29">
        <f t="shared" si="64"/>
        <v>0.4234188703574451</v>
      </c>
      <c r="EB25" s="29">
        <f t="shared" si="65"/>
        <v>0.41836343212802807</v>
      </c>
      <c r="EC25" s="29">
        <f t="shared" si="66"/>
        <v>-0.5281305891995786</v>
      </c>
      <c r="ED25" s="29">
        <f t="shared" si="67"/>
        <v>1.8488270583146424</v>
      </c>
      <c r="EE25" s="29">
        <f t="shared" si="96"/>
        <v>17487.65394977389</v>
      </c>
      <c r="EF25" s="29">
        <f t="shared" si="97"/>
        <v>9.569678119395176</v>
      </c>
      <c r="EG25" s="29">
        <f t="shared" si="98"/>
        <v>1827.4025240547114</v>
      </c>
      <c r="EH25" s="29">
        <f t="shared" si="68"/>
        <v>1540</v>
      </c>
      <c r="EI25" s="29">
        <f t="shared" si="69"/>
        <v>1570.144911249427</v>
      </c>
      <c r="EK25" s="29">
        <f t="shared" si="70"/>
        <v>2.2738812633353267</v>
      </c>
      <c r="EL25" s="29">
        <f t="shared" si="71"/>
        <v>3</v>
      </c>
      <c r="EM25" s="31">
        <f t="shared" si="72"/>
        <v>30.249151092889644</v>
      </c>
      <c r="EN25" s="31">
        <f t="shared" si="73"/>
        <v>30.126529865025077</v>
      </c>
      <c r="EO25" s="31">
        <f t="shared" si="74"/>
        <v>20.841769660552483</v>
      </c>
      <c r="EP25" s="31">
        <f t="shared" si="75"/>
        <v>0.7857006959094688</v>
      </c>
      <c r="EQ25" s="31">
        <f t="shared" si="76"/>
        <v>1508.3954367219837</v>
      </c>
    </row>
    <row r="26" spans="1:147" s="29" customFormat="1" ht="12.75">
      <c r="A26" s="29" t="s">
        <v>42</v>
      </c>
      <c r="B26" s="29" t="s">
        <v>28</v>
      </c>
      <c r="C26" s="30">
        <v>2</v>
      </c>
      <c r="D26" s="37">
        <v>1275</v>
      </c>
      <c r="F26" s="38">
        <v>4590</v>
      </c>
      <c r="G26" s="30">
        <v>43.6</v>
      </c>
      <c r="H26" s="30">
        <v>0.65</v>
      </c>
      <c r="I26" s="30">
        <v>15.03</v>
      </c>
      <c r="J26" s="30">
        <v>7.74</v>
      </c>
      <c r="K26" s="30">
        <v>0.11</v>
      </c>
      <c r="L26" s="30">
        <v>12.7</v>
      </c>
      <c r="M26" s="30">
        <v>9.84</v>
      </c>
      <c r="N26" s="30">
        <v>2.41</v>
      </c>
      <c r="O26" s="30">
        <v>0.12</v>
      </c>
      <c r="P26" s="30">
        <v>0</v>
      </c>
      <c r="Q26" s="30">
        <v>0.07</v>
      </c>
      <c r="R26" s="30">
        <v>0.21</v>
      </c>
      <c r="S26" s="30">
        <v>6.8</v>
      </c>
      <c r="T26" s="29">
        <f t="shared" si="77"/>
        <v>92.47999999999999</v>
      </c>
      <c r="V26" s="30">
        <v>55.9</v>
      </c>
      <c r="W26" s="30">
        <v>0.09</v>
      </c>
      <c r="X26" s="30">
        <v>4.7</v>
      </c>
      <c r="Y26" s="30">
        <v>6.24</v>
      </c>
      <c r="Z26" s="30">
        <v>0.07</v>
      </c>
      <c r="AA26" s="30">
        <v>32.2</v>
      </c>
      <c r="AB26" s="30">
        <v>1.65</v>
      </c>
      <c r="AC26" s="30">
        <v>0.09</v>
      </c>
      <c r="AD26" s="30">
        <v>0</v>
      </c>
      <c r="AE26" s="30">
        <v>0</v>
      </c>
      <c r="AF26" s="30">
        <v>0.21</v>
      </c>
      <c r="AG26" s="30">
        <v>0</v>
      </c>
      <c r="AH26" s="29">
        <f t="shared" si="78"/>
        <v>101.15</v>
      </c>
      <c r="AJ26" s="40">
        <f t="shared" si="79"/>
        <v>1413.0232149099406</v>
      </c>
      <c r="AK26" s="41">
        <f t="shared" si="0"/>
        <v>1254.127458388505</v>
      </c>
      <c r="AL26" s="40">
        <f t="shared" si="1"/>
        <v>1257.0667229636338</v>
      </c>
      <c r="AN26" s="40">
        <f t="shared" si="2"/>
        <v>1.852149672335759</v>
      </c>
      <c r="AO26" s="40">
        <f t="shared" si="3"/>
        <v>1.5292758359947953</v>
      </c>
      <c r="AP26" s="40">
        <f t="shared" si="4"/>
        <v>1.233642771052504</v>
      </c>
      <c r="AQ26" s="64"/>
      <c r="AR26" s="71">
        <f t="shared" si="5"/>
        <v>0.31797390341374165</v>
      </c>
      <c r="AT26" s="29">
        <f t="shared" si="6"/>
        <v>0.1086943554766011</v>
      </c>
      <c r="AU26" s="29">
        <f t="shared" si="7"/>
        <v>0.3418342018312429</v>
      </c>
      <c r="AV26" s="29">
        <f t="shared" si="80"/>
        <v>74.52485550265962</v>
      </c>
      <c r="AW26" s="29">
        <f t="shared" si="81"/>
        <v>90.19618392213461</v>
      </c>
      <c r="AX26" s="29">
        <f t="shared" si="8"/>
        <v>0.7256990679094542</v>
      </c>
      <c r="AY26" s="29">
        <f t="shared" si="9"/>
        <v>0.008135168961201502</v>
      </c>
      <c r="AZ26" s="29">
        <f t="shared" si="10"/>
        <v>0.29482149862691254</v>
      </c>
      <c r="BA26" s="29">
        <f t="shared" si="11"/>
        <v>0.10772442588726515</v>
      </c>
      <c r="BB26" s="29">
        <f t="shared" si="12"/>
        <v>0.0015506061460389062</v>
      </c>
      <c r="BC26" s="29">
        <f t="shared" si="13"/>
        <v>0.31513647642679904</v>
      </c>
      <c r="BD26" s="29">
        <f t="shared" si="14"/>
        <v>0.1754636233951498</v>
      </c>
      <c r="BE26" s="29">
        <f t="shared" si="15"/>
        <v>0.07776702161987739</v>
      </c>
      <c r="BF26" s="29">
        <f t="shared" si="16"/>
        <v>0.0025477707006369425</v>
      </c>
      <c r="BG26" s="29">
        <f t="shared" si="17"/>
        <v>0</v>
      </c>
      <c r="BH26" s="29">
        <f t="shared" si="18"/>
        <v>0.0009210635389103293</v>
      </c>
      <c r="BI26" s="29">
        <f t="shared" si="19"/>
        <v>0.0014795296504787334</v>
      </c>
      <c r="BJ26" s="29">
        <f t="shared" si="82"/>
        <v>1.7112462528627246</v>
      </c>
      <c r="BK26" s="29">
        <f t="shared" si="83"/>
        <v>0.4240763517789683</v>
      </c>
      <c r="BL26" s="29">
        <f t="shared" si="84"/>
        <v>0.004753944061289993</v>
      </c>
      <c r="BM26" s="29">
        <f t="shared" si="85"/>
        <v>0.1722846715565974</v>
      </c>
      <c r="BN26" s="29">
        <f t="shared" si="86"/>
        <v>0.06295086151806274</v>
      </c>
      <c r="BO26" s="29">
        <f t="shared" si="87"/>
        <v>0.0009061268320938115</v>
      </c>
      <c r="BP26" s="29">
        <f t="shared" si="88"/>
        <v>0.184156123585142</v>
      </c>
      <c r="BQ26" s="29">
        <f t="shared" si="89"/>
        <v>0.10253557785831155</v>
      </c>
      <c r="BR26" s="29">
        <f t="shared" si="90"/>
        <v>0.045444670216096494</v>
      </c>
      <c r="BS26" s="29">
        <f t="shared" si="91"/>
        <v>0.001488839316010075</v>
      </c>
      <c r="BT26" s="29">
        <f t="shared" si="92"/>
        <v>0</v>
      </c>
      <c r="BU26" s="29">
        <f t="shared" si="93"/>
        <v>0.0005382413766396814</v>
      </c>
      <c r="BV26" s="29">
        <f t="shared" si="94"/>
        <v>0.0008645919007878877</v>
      </c>
      <c r="BW26" s="29">
        <f t="shared" si="95"/>
        <v>0.9999999999999999</v>
      </c>
      <c r="BX26" s="29">
        <f t="shared" si="21"/>
        <v>0.9304260985352862</v>
      </c>
      <c r="BY26" s="29">
        <f t="shared" si="22"/>
        <v>0.0011264080100125155</v>
      </c>
      <c r="BZ26" s="29">
        <f t="shared" si="23"/>
        <v>0.04609650843468027</v>
      </c>
      <c r="CA26" s="29">
        <f t="shared" si="24"/>
        <v>0.08684759916492694</v>
      </c>
      <c r="CB26" s="29">
        <f t="shared" si="25"/>
        <v>0.0009867493656611221</v>
      </c>
      <c r="CC26" s="29">
        <f t="shared" si="26"/>
        <v>0.7990074441687346</v>
      </c>
      <c r="CD26" s="29">
        <f t="shared" si="27"/>
        <v>0.029422253922967188</v>
      </c>
      <c r="CE26" s="29">
        <f t="shared" si="28"/>
        <v>0.001452081316553727</v>
      </c>
      <c r="CF26" s="29">
        <f t="shared" si="29"/>
        <v>0</v>
      </c>
      <c r="CG26" s="29">
        <f t="shared" si="30"/>
        <v>0</v>
      </c>
      <c r="CH26" s="29">
        <f t="shared" si="31"/>
        <v>0.0013815953083654937</v>
      </c>
      <c r="CI26" s="29">
        <f t="shared" si="32"/>
        <v>1.896746738227188</v>
      </c>
      <c r="CK26" s="29">
        <f t="shared" si="33"/>
        <v>0.8693389440089236</v>
      </c>
      <c r="CM26" s="29">
        <f aca="true" t="shared" si="107" ref="CM26:CN29">2*BX26</f>
        <v>1.8608521970705725</v>
      </c>
      <c r="CN26" s="29">
        <f t="shared" si="107"/>
        <v>0.002252816020025031</v>
      </c>
      <c r="CO26" s="29">
        <f t="shared" si="35"/>
        <v>0.13828952530404082</v>
      </c>
      <c r="CP26" s="29">
        <f aca="true" t="shared" si="108" ref="CP26:CR29">CA26</f>
        <v>0.08684759916492694</v>
      </c>
      <c r="CQ26" s="29">
        <f t="shared" si="108"/>
        <v>0.0009867493656611221</v>
      </c>
      <c r="CR26" s="29">
        <f t="shared" si="108"/>
        <v>0.7990074441687346</v>
      </c>
      <c r="CS26" s="29">
        <f t="shared" si="106"/>
        <v>0.029422253922967188</v>
      </c>
      <c r="CT26" s="29">
        <f t="shared" si="106"/>
        <v>0.001452081316553727</v>
      </c>
      <c r="CU26" s="29">
        <f t="shared" si="106"/>
        <v>0</v>
      </c>
      <c r="CV26" s="29">
        <f t="shared" si="100"/>
        <v>0</v>
      </c>
      <c r="CW26" s="29">
        <f t="shared" si="37"/>
        <v>0.004144785925096481</v>
      </c>
      <c r="CX26" s="29">
        <f t="shared" si="38"/>
        <v>2.923255452258579</v>
      </c>
      <c r="CY26" s="29">
        <f t="shared" si="39"/>
        <v>2.0525062205440348</v>
      </c>
      <c r="CZ26" s="29">
        <f t="shared" si="40"/>
        <v>1.9097053550001921</v>
      </c>
      <c r="DA26" s="29">
        <f t="shared" si="41"/>
        <v>0.0023119594474213154</v>
      </c>
      <c r="DB26" s="29">
        <f t="shared" si="42"/>
        <v>0.18922674061508366</v>
      </c>
      <c r="DC26" s="29">
        <f t="shared" si="43"/>
        <v>1.9120173144476134</v>
      </c>
      <c r="DD26" s="29">
        <f t="shared" si="44"/>
        <v>0.09029464499980788</v>
      </c>
      <c r="DE26" s="29">
        <f t="shared" si="45"/>
        <v>0.09893209561527577</v>
      </c>
      <c r="DF26" s="29">
        <f t="shared" si="46"/>
        <v>0.17825523752532746</v>
      </c>
      <c r="DG26" s="29">
        <f t="shared" si="47"/>
        <v>0.0020253092111373336</v>
      </c>
      <c r="DH26" s="29">
        <f t="shared" si="48"/>
        <v>1.6399677494173184</v>
      </c>
      <c r="DI26" s="29">
        <f t="shared" si="49"/>
        <v>0.06038935919931628</v>
      </c>
      <c r="DJ26" s="29">
        <f t="shared" si="50"/>
        <v>0.005960811869924593</v>
      </c>
      <c r="DK26" s="29">
        <f t="shared" si="51"/>
        <v>0</v>
      </c>
      <c r="DL26" s="29">
        <f t="shared" si="52"/>
        <v>0</v>
      </c>
      <c r="DM26" s="29">
        <f t="shared" si="53"/>
        <v>0.00567146592938926</v>
      </c>
      <c r="DN26" s="31">
        <f t="shared" si="54"/>
        <v>3.9935139882151103</v>
      </c>
      <c r="DP26" s="29">
        <f t="shared" si="55"/>
        <v>0.005960811869924593</v>
      </c>
      <c r="DQ26" s="29">
        <f t="shared" si="56"/>
        <v>0.0023119594474213154</v>
      </c>
      <c r="DR26" s="29">
        <f t="shared" si="57"/>
        <v>0.00567146592938926</v>
      </c>
      <c r="DS26" s="31">
        <f t="shared" si="58"/>
        <v>0.08729981781596192</v>
      </c>
      <c r="DT26" s="29">
        <f t="shared" si="59"/>
        <v>0.06038935919931628</v>
      </c>
      <c r="DU26" s="29">
        <f t="shared" si="60"/>
        <v>0.8351235798455419</v>
      </c>
      <c r="DV26" s="29">
        <f t="shared" si="61"/>
        <v>0.9967569941075552</v>
      </c>
      <c r="DW26" s="29">
        <f t="shared" si="62"/>
        <v>4.324055291771331</v>
      </c>
      <c r="DX26" s="29">
        <f t="shared" si="63"/>
        <v>3.330922731694247</v>
      </c>
      <c r="EA26" s="29">
        <f t="shared" si="64"/>
        <v>0.4240763517789683</v>
      </c>
      <c r="EB26" s="29">
        <f t="shared" si="65"/>
        <v>0.3505486897936101</v>
      </c>
      <c r="EC26" s="29">
        <f t="shared" si="66"/>
        <v>-0.6951579247503656</v>
      </c>
      <c r="ED26" s="29">
        <f t="shared" si="67"/>
        <v>2.403279274380581</v>
      </c>
      <c r="EE26" s="29">
        <f t="shared" si="96"/>
        <v>16705.877754257675</v>
      </c>
      <c r="EF26" s="29">
        <f t="shared" si="97"/>
        <v>9.907569166996847</v>
      </c>
      <c r="EG26" s="29">
        <f t="shared" si="98"/>
        <v>1686.1732149099405</v>
      </c>
      <c r="EH26" s="29">
        <f t="shared" si="68"/>
        <v>1275</v>
      </c>
      <c r="EI26" s="29">
        <f t="shared" si="69"/>
        <v>1253.5674724472312</v>
      </c>
      <c r="EK26" s="29">
        <f t="shared" si="70"/>
        <v>1.612752134698237</v>
      </c>
      <c r="EL26" s="29">
        <f t="shared" si="71"/>
        <v>2</v>
      </c>
      <c r="EM26" s="31">
        <f t="shared" si="72"/>
        <v>13.4683187911863</v>
      </c>
      <c r="EN26" s="31">
        <f t="shared" si="73"/>
        <v>13.321020622140622</v>
      </c>
      <c r="EO26" s="31">
        <f t="shared" si="74"/>
        <v>8.084048665982175</v>
      </c>
      <c r="EP26" s="31">
        <f t="shared" si="75"/>
        <v>0.7452485550265964</v>
      </c>
      <c r="EQ26" s="31">
        <f t="shared" si="76"/>
        <v>1257.0667229636338</v>
      </c>
    </row>
    <row r="27" spans="1:147" s="29" customFormat="1" ht="12.75">
      <c r="A27" s="29" t="s">
        <v>42</v>
      </c>
      <c r="B27" s="29" t="s">
        <v>29</v>
      </c>
      <c r="C27" s="30">
        <v>1.2</v>
      </c>
      <c r="D27" s="37">
        <v>1170</v>
      </c>
      <c r="F27" s="38">
        <v>4593</v>
      </c>
      <c r="G27" s="30">
        <v>46.2</v>
      </c>
      <c r="H27" s="30">
        <v>0.68</v>
      </c>
      <c r="I27" s="30">
        <v>18</v>
      </c>
      <c r="J27" s="30">
        <v>6.4</v>
      </c>
      <c r="K27" s="30">
        <v>0.08</v>
      </c>
      <c r="L27" s="30">
        <v>8.48</v>
      </c>
      <c r="M27" s="30">
        <v>8.82</v>
      </c>
      <c r="N27" s="30">
        <v>3</v>
      </c>
      <c r="O27" s="30">
        <v>0.44</v>
      </c>
      <c r="P27" s="30">
        <v>0</v>
      </c>
      <c r="Q27" s="30">
        <v>0.06</v>
      </c>
      <c r="R27" s="30">
        <v>0.22</v>
      </c>
      <c r="S27" s="30">
        <v>7.87</v>
      </c>
      <c r="T27" s="29">
        <f t="shared" si="77"/>
        <v>92.38</v>
      </c>
      <c r="V27" s="30">
        <v>54.6</v>
      </c>
      <c r="W27" s="30">
        <v>0.1</v>
      </c>
      <c r="X27" s="30">
        <v>6.3</v>
      </c>
      <c r="Y27" s="30">
        <v>7.7</v>
      </c>
      <c r="Z27" s="30">
        <v>0.14</v>
      </c>
      <c r="AA27" s="30">
        <v>30.6</v>
      </c>
      <c r="AB27" s="30">
        <v>1.37</v>
      </c>
      <c r="AC27" s="30">
        <v>0.07</v>
      </c>
      <c r="AD27" s="30">
        <v>0</v>
      </c>
      <c r="AE27" s="30">
        <v>0</v>
      </c>
      <c r="AF27" s="30">
        <v>0.59</v>
      </c>
      <c r="AG27" s="30">
        <v>0</v>
      </c>
      <c r="AH27" s="29">
        <f t="shared" si="78"/>
        <v>101.47</v>
      </c>
      <c r="AJ27" s="40">
        <f t="shared" si="79"/>
        <v>1292.3131103562678</v>
      </c>
      <c r="AK27" s="41">
        <f t="shared" si="0"/>
        <v>1130.4604280664466</v>
      </c>
      <c r="AL27" s="40">
        <f t="shared" si="1"/>
        <v>1138.5660219074869</v>
      </c>
      <c r="AN27" s="40">
        <f t="shared" si="2"/>
        <v>1.5055460733679438</v>
      </c>
      <c r="AO27" s="40">
        <f t="shared" si="3"/>
        <v>1.161827351518224</v>
      </c>
      <c r="AP27" s="40">
        <f t="shared" si="4"/>
        <v>0.8539743580412187</v>
      </c>
      <c r="AQ27" s="64"/>
      <c r="AR27" s="71">
        <f t="shared" si="5"/>
        <v>0.3334150326797385</v>
      </c>
      <c r="AT27" s="29">
        <f t="shared" si="6"/>
        <v>0.1411391742964873</v>
      </c>
      <c r="AU27" s="29">
        <f t="shared" si="7"/>
        <v>0.423313769514581</v>
      </c>
      <c r="AV27" s="29">
        <f t="shared" si="80"/>
        <v>70.25857695039713</v>
      </c>
      <c r="AW27" s="29">
        <f t="shared" si="81"/>
        <v>87.63172998740494</v>
      </c>
      <c r="AX27" s="29">
        <f t="shared" si="8"/>
        <v>0.7689747003994675</v>
      </c>
      <c r="AY27" s="29">
        <f t="shared" si="9"/>
        <v>0.00851063829787234</v>
      </c>
      <c r="AZ27" s="29">
        <f t="shared" si="10"/>
        <v>0.35307963907414674</v>
      </c>
      <c r="BA27" s="29">
        <f t="shared" si="11"/>
        <v>0.08907446068197636</v>
      </c>
      <c r="BB27" s="29">
        <f t="shared" si="12"/>
        <v>0.001127713560755568</v>
      </c>
      <c r="BC27" s="29">
        <f t="shared" si="13"/>
        <v>0.21042183622828786</v>
      </c>
      <c r="BD27" s="29">
        <f t="shared" si="14"/>
        <v>0.1572753209700428</v>
      </c>
      <c r="BE27" s="29">
        <f t="shared" si="15"/>
        <v>0.0968054211035818</v>
      </c>
      <c r="BF27" s="29">
        <f t="shared" si="16"/>
        <v>0.009341825902335456</v>
      </c>
      <c r="BG27" s="29">
        <f t="shared" si="17"/>
        <v>0</v>
      </c>
      <c r="BH27" s="29">
        <f t="shared" si="18"/>
        <v>0.0007894830333517107</v>
      </c>
      <c r="BI27" s="29">
        <f t="shared" si="19"/>
        <v>0.0015499834433586731</v>
      </c>
      <c r="BJ27" s="29">
        <f t="shared" si="82"/>
        <v>1.696951022695177</v>
      </c>
      <c r="BK27" s="29">
        <f t="shared" si="83"/>
        <v>0.45315079228282373</v>
      </c>
      <c r="BL27" s="29">
        <f t="shared" si="84"/>
        <v>0.005015252758653781</v>
      </c>
      <c r="BM27" s="29">
        <f t="shared" si="85"/>
        <v>0.20806707698220372</v>
      </c>
      <c r="BN27" s="29">
        <f t="shared" si="86"/>
        <v>0.05249088482265336</v>
      </c>
      <c r="BO27" s="29">
        <f t="shared" si="87"/>
        <v>0.0006645528042197003</v>
      </c>
      <c r="BP27" s="29">
        <f t="shared" si="88"/>
        <v>0.12399994661842748</v>
      </c>
      <c r="BQ27" s="29">
        <f t="shared" si="89"/>
        <v>0.09268111976517199</v>
      </c>
      <c r="BR27" s="29">
        <f t="shared" si="90"/>
        <v>0.05704667949097959</v>
      </c>
      <c r="BS27" s="29">
        <f t="shared" si="91"/>
        <v>0.005505065129987271</v>
      </c>
      <c r="BT27" s="29">
        <f t="shared" si="92"/>
        <v>0</v>
      </c>
      <c r="BU27" s="29">
        <f t="shared" si="93"/>
        <v>0.0004652361929089838</v>
      </c>
      <c r="BV27" s="29">
        <f t="shared" si="94"/>
        <v>0.0009133931519702419</v>
      </c>
      <c r="BW27" s="29">
        <f t="shared" si="95"/>
        <v>1</v>
      </c>
      <c r="BX27" s="29">
        <f t="shared" si="21"/>
        <v>0.9087882822902796</v>
      </c>
      <c r="BY27" s="29">
        <f t="shared" si="22"/>
        <v>0.0012515644555694619</v>
      </c>
      <c r="BZ27" s="29">
        <f t="shared" si="23"/>
        <v>0.06178893683797568</v>
      </c>
      <c r="CA27" s="29">
        <f t="shared" si="24"/>
        <v>0.10716771050800279</v>
      </c>
      <c r="CB27" s="29">
        <f t="shared" si="25"/>
        <v>0.0019734987313222443</v>
      </c>
      <c r="CC27" s="29">
        <f t="shared" si="26"/>
        <v>0.7593052109181142</v>
      </c>
      <c r="CD27" s="29">
        <f t="shared" si="27"/>
        <v>0.02442938659058488</v>
      </c>
      <c r="CE27" s="29">
        <f t="shared" si="28"/>
        <v>0.0011293965795417878</v>
      </c>
      <c r="CF27" s="29">
        <f t="shared" si="29"/>
        <v>0</v>
      </c>
      <c r="CG27" s="29">
        <f t="shared" si="30"/>
        <v>0</v>
      </c>
      <c r="CH27" s="29">
        <f t="shared" si="31"/>
        <v>0.0038816249139792445</v>
      </c>
      <c r="CI27" s="29">
        <f t="shared" si="32"/>
        <v>1.8697156118253702</v>
      </c>
      <c r="CK27" s="29">
        <f t="shared" si="33"/>
        <v>0.8456580351057891</v>
      </c>
      <c r="CM27" s="29">
        <f t="shared" si="107"/>
        <v>1.8175765645805593</v>
      </c>
      <c r="CN27" s="29">
        <f t="shared" si="107"/>
        <v>0.0025031289111389237</v>
      </c>
      <c r="CO27" s="29">
        <f t="shared" si="35"/>
        <v>0.18536681051392703</v>
      </c>
      <c r="CP27" s="29">
        <f t="shared" si="108"/>
        <v>0.10716771050800279</v>
      </c>
      <c r="CQ27" s="29">
        <f t="shared" si="108"/>
        <v>0.0019734987313222443</v>
      </c>
      <c r="CR27" s="29">
        <f t="shared" si="108"/>
        <v>0.7593052109181142</v>
      </c>
      <c r="CS27" s="29">
        <f t="shared" si="106"/>
        <v>0.02442938659058488</v>
      </c>
      <c r="CT27" s="29">
        <f t="shared" si="106"/>
        <v>0.0011293965795417878</v>
      </c>
      <c r="CU27" s="29">
        <f t="shared" si="106"/>
        <v>0</v>
      </c>
      <c r="CV27" s="29">
        <f t="shared" si="100"/>
        <v>0</v>
      </c>
      <c r="CW27" s="29">
        <f t="shared" si="37"/>
        <v>0.011644874741937733</v>
      </c>
      <c r="CX27" s="29">
        <f t="shared" si="38"/>
        <v>2.911096582075129</v>
      </c>
      <c r="CY27" s="29">
        <f t="shared" si="39"/>
        <v>2.0610789889090504</v>
      </c>
      <c r="CZ27" s="29">
        <f t="shared" si="40"/>
        <v>1.8730844339952422</v>
      </c>
      <c r="DA27" s="29">
        <f t="shared" si="41"/>
        <v>0.0025795732026396125</v>
      </c>
      <c r="DB27" s="29">
        <f t="shared" si="42"/>
        <v>0.2547037589275602</v>
      </c>
      <c r="DC27" s="29">
        <f t="shared" si="43"/>
        <v>1.8756640071978818</v>
      </c>
      <c r="DD27" s="29">
        <f t="shared" si="44"/>
        <v>0.12691556600475784</v>
      </c>
      <c r="DE27" s="29">
        <f t="shared" si="45"/>
        <v>0.12778819292280236</v>
      </c>
      <c r="DF27" s="29">
        <f t="shared" si="46"/>
        <v>0.22088111641753222</v>
      </c>
      <c r="DG27" s="29">
        <f t="shared" si="47"/>
        <v>0.004067536769766945</v>
      </c>
      <c r="DH27" s="29">
        <f t="shared" si="48"/>
        <v>1.56498801639248</v>
      </c>
      <c r="DI27" s="29">
        <f t="shared" si="49"/>
        <v>0.050350895413791</v>
      </c>
      <c r="DJ27" s="29">
        <f t="shared" si="50"/>
        <v>0.004655551120478656</v>
      </c>
      <c r="DK27" s="29">
        <f t="shared" si="51"/>
        <v>0</v>
      </c>
      <c r="DL27" s="29">
        <f t="shared" si="52"/>
        <v>0</v>
      </c>
      <c r="DM27" s="29">
        <f t="shared" si="53"/>
        <v>0.016000671106057043</v>
      </c>
      <c r="DN27" s="31">
        <f t="shared" si="54"/>
        <v>3.9913115533455477</v>
      </c>
      <c r="DP27" s="29">
        <f t="shared" si="55"/>
        <v>0.004655551120478656</v>
      </c>
      <c r="DQ27" s="29">
        <f t="shared" si="56"/>
        <v>0.0025795732026396125</v>
      </c>
      <c r="DR27" s="29">
        <f t="shared" si="57"/>
        <v>0.016000671106057043</v>
      </c>
      <c r="DS27" s="31">
        <f t="shared" si="58"/>
        <v>0.10713197069626665</v>
      </c>
      <c r="DT27" s="29">
        <f t="shared" si="59"/>
        <v>0.050350895413791</v>
      </c>
      <c r="DU27" s="29">
        <f t="shared" si="60"/>
        <v>0.814937115133541</v>
      </c>
      <c r="DV27" s="29">
        <f t="shared" si="61"/>
        <v>0.9956557766727739</v>
      </c>
      <c r="DW27" s="29">
        <f t="shared" si="62"/>
        <v>4.8398724489725335</v>
      </c>
      <c r="DX27" s="29">
        <f t="shared" si="63"/>
        <v>3.428354086567232</v>
      </c>
      <c r="EA27" s="29">
        <f t="shared" si="64"/>
        <v>0.45315079228282373</v>
      </c>
      <c r="EB27" s="29">
        <f t="shared" si="65"/>
        <v>0.2698365040104725</v>
      </c>
      <c r="EC27" s="29">
        <f t="shared" si="66"/>
        <v>-0.8516701431251072</v>
      </c>
      <c r="ED27" s="29">
        <f t="shared" si="67"/>
        <v>3.4642049499933805</v>
      </c>
      <c r="EE27" s="29">
        <f t="shared" si="96"/>
        <v>16080.456797844705</v>
      </c>
      <c r="EF27" s="29">
        <f t="shared" si="97"/>
        <v>10.272012602191001</v>
      </c>
      <c r="EG27" s="29">
        <f t="shared" si="98"/>
        <v>1565.4631103562679</v>
      </c>
      <c r="EH27" s="29">
        <f t="shared" si="68"/>
        <v>1170</v>
      </c>
      <c r="EI27" s="29">
        <f t="shared" si="69"/>
        <v>1129.9897788447013</v>
      </c>
      <c r="EK27" s="29">
        <f t="shared" si="70"/>
        <v>1.323936248194502</v>
      </c>
      <c r="EL27" s="29">
        <f t="shared" si="71"/>
        <v>1.2</v>
      </c>
      <c r="EM27" s="31">
        <f t="shared" si="72"/>
        <v>9.526286646229119</v>
      </c>
      <c r="EN27" s="31">
        <f t="shared" si="73"/>
        <v>9.382570371556994</v>
      </c>
      <c r="EO27" s="31">
        <f t="shared" si="74"/>
        <v>-1.3887019432041157</v>
      </c>
      <c r="EP27" s="31">
        <f t="shared" si="75"/>
        <v>0.7025857695039713</v>
      </c>
      <c r="EQ27" s="31">
        <f t="shared" si="76"/>
        <v>1138.5660219074869</v>
      </c>
    </row>
    <row r="28" spans="1:147" s="29" customFormat="1" ht="12.75">
      <c r="A28" s="29" t="s">
        <v>31</v>
      </c>
      <c r="B28" s="29" t="s">
        <v>30</v>
      </c>
      <c r="C28" s="30">
        <v>0.15</v>
      </c>
      <c r="D28" s="37">
        <v>850</v>
      </c>
      <c r="F28" s="38">
        <v>30243</v>
      </c>
      <c r="G28" s="30">
        <v>76.84</v>
      </c>
      <c r="H28" s="30">
        <v>0.22</v>
      </c>
      <c r="I28" s="30">
        <v>11.47</v>
      </c>
      <c r="J28" s="30">
        <v>1.16</v>
      </c>
      <c r="K28" s="30">
        <v>0.07</v>
      </c>
      <c r="L28" s="30">
        <v>0.14</v>
      </c>
      <c r="M28" s="30">
        <v>0.67</v>
      </c>
      <c r="N28" s="30">
        <v>4.02</v>
      </c>
      <c r="O28" s="30">
        <v>2.87</v>
      </c>
      <c r="P28" s="30">
        <v>0</v>
      </c>
      <c r="Q28" s="30">
        <v>0</v>
      </c>
      <c r="R28" s="30">
        <v>0</v>
      </c>
      <c r="S28" s="30">
        <v>2.53</v>
      </c>
      <c r="T28" s="29">
        <f t="shared" si="77"/>
        <v>97.46</v>
      </c>
      <c r="V28" s="30">
        <v>51.81</v>
      </c>
      <c r="W28" s="30">
        <v>0.13</v>
      </c>
      <c r="X28" s="30">
        <v>1.09</v>
      </c>
      <c r="Y28" s="30">
        <v>26.34</v>
      </c>
      <c r="Z28" s="30">
        <v>0.69</v>
      </c>
      <c r="AA28" s="30">
        <v>19.26</v>
      </c>
      <c r="AB28" s="30">
        <v>1.08</v>
      </c>
      <c r="AC28" s="30">
        <v>0.02</v>
      </c>
      <c r="AD28" s="30">
        <v>0.01</v>
      </c>
      <c r="AE28" s="30">
        <v>0</v>
      </c>
      <c r="AF28" s="30">
        <v>0.02</v>
      </c>
      <c r="AG28" s="30">
        <v>0</v>
      </c>
      <c r="AH28" s="29">
        <f t="shared" si="78"/>
        <v>100.45</v>
      </c>
      <c r="AJ28" s="40">
        <f t="shared" si="79"/>
        <v>1083.3445299716218</v>
      </c>
      <c r="AK28" s="41">
        <f t="shared" si="0"/>
        <v>839.2895375014034</v>
      </c>
      <c r="AL28" s="40">
        <f t="shared" si="1"/>
        <v>868.0964183782345</v>
      </c>
      <c r="AN28" s="40">
        <f t="shared" si="2"/>
        <v>-0.2189250067124374</v>
      </c>
      <c r="AO28" s="40">
        <f t="shared" si="3"/>
        <v>0.16624824054658563</v>
      </c>
      <c r="AP28" s="40">
        <f t="shared" si="4"/>
        <v>0.6817822779629121</v>
      </c>
      <c r="AQ28" s="64"/>
      <c r="AR28" s="71">
        <f t="shared" si="5"/>
        <v>0.16505532280588678</v>
      </c>
      <c r="AT28" s="29">
        <f t="shared" si="6"/>
        <v>0.7670748812535634</v>
      </c>
      <c r="AU28" s="29">
        <f t="shared" si="7"/>
        <v>4.647380455313649</v>
      </c>
      <c r="AV28" s="29">
        <f t="shared" si="80"/>
        <v>17.70732480152094</v>
      </c>
      <c r="AW28" s="29">
        <f t="shared" si="81"/>
        <v>56.590697463290276</v>
      </c>
      <c r="AX28" s="29">
        <f t="shared" si="8"/>
        <v>1.2789613848202397</v>
      </c>
      <c r="AY28" s="29">
        <f t="shared" si="9"/>
        <v>0.002753441802252816</v>
      </c>
      <c r="AZ28" s="29">
        <f t="shared" si="10"/>
        <v>0.22499019223224798</v>
      </c>
      <c r="BA28" s="29">
        <f t="shared" si="11"/>
        <v>0.016144745998608212</v>
      </c>
      <c r="BB28" s="29">
        <f t="shared" si="12"/>
        <v>0.0009867493656611221</v>
      </c>
      <c r="BC28" s="29">
        <f t="shared" si="13"/>
        <v>0.003473945409429281</v>
      </c>
      <c r="BD28" s="29">
        <f t="shared" si="14"/>
        <v>0.011947218259629102</v>
      </c>
      <c r="BE28" s="29">
        <f t="shared" si="15"/>
        <v>0.1297192642787996</v>
      </c>
      <c r="BF28" s="29">
        <f t="shared" si="16"/>
        <v>0.060934182590233546</v>
      </c>
      <c r="BG28" s="29">
        <f t="shared" si="17"/>
        <v>0</v>
      </c>
      <c r="BH28" s="29">
        <f t="shared" si="18"/>
        <v>0</v>
      </c>
      <c r="BI28" s="29">
        <f t="shared" si="19"/>
        <v>0</v>
      </c>
      <c r="BJ28" s="29">
        <f t="shared" si="82"/>
        <v>1.7299111247571015</v>
      </c>
      <c r="BK28" s="29">
        <f t="shared" si="83"/>
        <v>0.7393220186382812</v>
      </c>
      <c r="BL28" s="29">
        <f t="shared" si="84"/>
        <v>0.0015916666254397486</v>
      </c>
      <c r="BM28" s="29">
        <f t="shared" si="85"/>
        <v>0.13005881574629394</v>
      </c>
      <c r="BN28" s="29">
        <f t="shared" si="86"/>
        <v>0.009332702569257776</v>
      </c>
      <c r="BO28" s="29">
        <f t="shared" si="87"/>
        <v>0.000570404659256511</v>
      </c>
      <c r="BP28" s="29">
        <f t="shared" si="88"/>
        <v>0.0020081640956653543</v>
      </c>
      <c r="BQ28" s="29">
        <f t="shared" si="89"/>
        <v>0.006906261303630048</v>
      </c>
      <c r="BR28" s="29">
        <f t="shared" si="90"/>
        <v>0.07498608594531907</v>
      </c>
      <c r="BS28" s="29">
        <f t="shared" si="91"/>
        <v>0.03522388041685631</v>
      </c>
      <c r="BT28" s="29">
        <f t="shared" si="92"/>
        <v>0</v>
      </c>
      <c r="BU28" s="29">
        <f t="shared" si="93"/>
        <v>0</v>
      </c>
      <c r="BV28" s="29">
        <f t="shared" si="94"/>
        <v>0</v>
      </c>
      <c r="BW28" s="29">
        <f t="shared" si="95"/>
        <v>1</v>
      </c>
      <c r="BX28" s="29">
        <f t="shared" si="21"/>
        <v>0.8623501997336884</v>
      </c>
      <c r="BY28" s="29">
        <f t="shared" si="22"/>
        <v>0.0016270337922403002</v>
      </c>
      <c r="BZ28" s="29">
        <f t="shared" si="23"/>
        <v>0.010690466849745</v>
      </c>
      <c r="CA28" s="29">
        <f t="shared" si="24"/>
        <v>0.3665970772442589</v>
      </c>
      <c r="CB28" s="29">
        <f t="shared" si="25"/>
        <v>0.009726529461516774</v>
      </c>
      <c r="CC28" s="29">
        <f t="shared" si="26"/>
        <v>0.4779156327543425</v>
      </c>
      <c r="CD28" s="29">
        <f t="shared" si="27"/>
        <v>0.019258202567760344</v>
      </c>
      <c r="CE28" s="29">
        <f t="shared" si="28"/>
        <v>0.0003226847370119394</v>
      </c>
      <c r="CF28" s="29">
        <f t="shared" si="29"/>
        <v>0.00010615711252653928</v>
      </c>
      <c r="CG28" s="29">
        <f t="shared" si="30"/>
        <v>0</v>
      </c>
      <c r="CH28" s="29">
        <f t="shared" si="31"/>
        <v>0.00013158050555861847</v>
      </c>
      <c r="CI28" s="29">
        <f t="shared" si="32"/>
        <v>1.7487255647586493</v>
      </c>
      <c r="CK28" s="29">
        <f t="shared" si="33"/>
        <v>0.546844440921092</v>
      </c>
      <c r="CM28" s="29">
        <f t="shared" si="107"/>
        <v>1.7247003994673769</v>
      </c>
      <c r="CN28" s="29">
        <f t="shared" si="107"/>
        <v>0.0032540675844806004</v>
      </c>
      <c r="CO28" s="29">
        <f t="shared" si="35"/>
        <v>0.032071400549235</v>
      </c>
      <c r="CP28" s="29">
        <f t="shared" si="108"/>
        <v>0.3665970772442589</v>
      </c>
      <c r="CQ28" s="29">
        <f t="shared" si="108"/>
        <v>0.009726529461516774</v>
      </c>
      <c r="CR28" s="29">
        <f t="shared" si="108"/>
        <v>0.4779156327543425</v>
      </c>
      <c r="CS28" s="29">
        <f t="shared" si="106"/>
        <v>0.019258202567760344</v>
      </c>
      <c r="CT28" s="29">
        <f t="shared" si="106"/>
        <v>0.0003226847370119394</v>
      </c>
      <c r="CU28" s="29">
        <f t="shared" si="106"/>
        <v>0.00010615711252653928</v>
      </c>
      <c r="CV28" s="29">
        <f t="shared" si="100"/>
        <v>0</v>
      </c>
      <c r="CW28" s="29">
        <f t="shared" si="37"/>
        <v>0.0003947415166758554</v>
      </c>
      <c r="CX28" s="29">
        <f t="shared" si="38"/>
        <v>2.6343468929951865</v>
      </c>
      <c r="CY28" s="29">
        <f t="shared" si="39"/>
        <v>2.2776043716771674</v>
      </c>
      <c r="CZ28" s="29">
        <f t="shared" si="40"/>
        <v>1.9640925848301274</v>
      </c>
      <c r="DA28" s="29">
        <f t="shared" si="41"/>
        <v>0.003705739278072988</v>
      </c>
      <c r="DB28" s="29">
        <f t="shared" si="42"/>
        <v>0.048697308064498096</v>
      </c>
      <c r="DC28" s="29">
        <f t="shared" si="43"/>
        <v>1.9677983241082004</v>
      </c>
      <c r="DD28" s="29">
        <f t="shared" si="44"/>
        <v>0.035907415169872614</v>
      </c>
      <c r="DE28" s="29">
        <f t="shared" si="45"/>
        <v>0.012789892894625482</v>
      </c>
      <c r="DF28" s="29">
        <f t="shared" si="46"/>
        <v>0.8349631057755963</v>
      </c>
      <c r="DG28" s="29">
        <f t="shared" si="47"/>
        <v>0.02215318602279737</v>
      </c>
      <c r="DH28" s="29">
        <f t="shared" si="48"/>
        <v>1.0885027344541502</v>
      </c>
      <c r="DI28" s="29">
        <f t="shared" si="49"/>
        <v>0.04386256635897541</v>
      </c>
      <c r="DJ28" s="29">
        <f t="shared" si="50"/>
        <v>0.0014698963353837805</v>
      </c>
      <c r="DK28" s="29">
        <f t="shared" si="51"/>
        <v>0.0004835678071501417</v>
      </c>
      <c r="DL28" s="29">
        <f t="shared" si="52"/>
        <v>0</v>
      </c>
      <c r="DM28" s="29">
        <f t="shared" si="53"/>
        <v>0.0005993766693756026</v>
      </c>
      <c r="DN28" s="31">
        <f t="shared" si="54"/>
        <v>4.008530065596128</v>
      </c>
      <c r="DP28" s="29">
        <f t="shared" si="55"/>
        <v>0.0014698963353837805</v>
      </c>
      <c r="DQ28" s="29">
        <f t="shared" si="56"/>
        <v>0.003705739278072988</v>
      </c>
      <c r="DR28" s="29">
        <f t="shared" si="57"/>
        <v>0.0005993766693756026</v>
      </c>
      <c r="DS28" s="31">
        <f t="shared" si="58"/>
        <v>0.0107206198898661</v>
      </c>
      <c r="DT28" s="29">
        <f t="shared" si="59"/>
        <v>0.04386256635897541</v>
      </c>
      <c r="DU28" s="29">
        <f t="shared" si="60"/>
        <v>0.9436650503628147</v>
      </c>
      <c r="DV28" s="29">
        <f t="shared" si="61"/>
        <v>1.0040232488944885</v>
      </c>
      <c r="DW28" s="29">
        <f t="shared" si="62"/>
        <v>9.40659972631086</v>
      </c>
      <c r="DX28" s="29">
        <f t="shared" si="63"/>
        <v>4.276242565404711</v>
      </c>
      <c r="EA28" s="29">
        <f t="shared" si="64"/>
        <v>0.7393220186382812</v>
      </c>
      <c r="EB28" s="29">
        <f t="shared" si="65"/>
        <v>0.018817532627809688</v>
      </c>
      <c r="EC28" s="29">
        <f t="shared" si="66"/>
        <v>-0.49880440144439653</v>
      </c>
      <c r="ED28" s="29">
        <f t="shared" si="67"/>
        <v>96.60000401717504</v>
      </c>
      <c r="EE28" s="29">
        <f t="shared" si="96"/>
        <v>15259.591792552683</v>
      </c>
      <c r="EF28" s="29">
        <f t="shared" si="97"/>
        <v>11.24928369071412</v>
      </c>
      <c r="EG28" s="29">
        <f t="shared" si="98"/>
        <v>1356.494529971622</v>
      </c>
      <c r="EH28" s="29">
        <f t="shared" si="68"/>
        <v>850</v>
      </c>
      <c r="EI28" s="29">
        <f t="shared" si="69"/>
        <v>839.1929590295654</v>
      </c>
      <c r="EK28" s="29">
        <f t="shared" si="70"/>
        <v>0.20878091713755337</v>
      </c>
      <c r="EL28" s="29">
        <f t="shared" si="71"/>
        <v>0.15</v>
      </c>
      <c r="EM28" s="31">
        <f t="shared" si="72"/>
        <v>6.00136175360495</v>
      </c>
      <c r="EN28" s="31">
        <f t="shared" si="73"/>
        <v>5.826834083837639</v>
      </c>
      <c r="EO28" s="31">
        <f t="shared" si="74"/>
        <v>12.622293530806452</v>
      </c>
      <c r="EP28" s="31">
        <f t="shared" si="75"/>
        <v>0.1770732480152094</v>
      </c>
      <c r="EQ28" s="31">
        <f t="shared" si="76"/>
        <v>868.0964183782345</v>
      </c>
    </row>
    <row r="29" spans="1:147" s="29" customFormat="1" ht="12.75">
      <c r="A29" s="29" t="s">
        <v>31</v>
      </c>
      <c r="B29" s="29" t="s">
        <v>32</v>
      </c>
      <c r="C29" s="30">
        <v>0.15</v>
      </c>
      <c r="D29" s="37">
        <v>850</v>
      </c>
      <c r="F29" s="38">
        <v>30242</v>
      </c>
      <c r="G29" s="30">
        <v>76.32</v>
      </c>
      <c r="H29" s="30">
        <v>0.23</v>
      </c>
      <c r="I29" s="30">
        <v>11.87</v>
      </c>
      <c r="J29" s="30">
        <v>1.18</v>
      </c>
      <c r="K29" s="30">
        <v>0.01</v>
      </c>
      <c r="L29" s="30">
        <v>0.14</v>
      </c>
      <c r="M29" s="30">
        <v>0.67</v>
      </c>
      <c r="N29" s="30">
        <v>4.22</v>
      </c>
      <c r="O29" s="30">
        <v>2.8</v>
      </c>
      <c r="P29" s="30">
        <v>0</v>
      </c>
      <c r="Q29" s="30">
        <v>0</v>
      </c>
      <c r="R29" s="30">
        <v>0</v>
      </c>
      <c r="S29" s="30">
        <v>2.56</v>
      </c>
      <c r="T29" s="29">
        <f t="shared" si="77"/>
        <v>97.44000000000001</v>
      </c>
      <c r="V29" s="30">
        <v>51.76</v>
      </c>
      <c r="W29" s="30">
        <v>0.09</v>
      </c>
      <c r="X29" s="30">
        <v>0.86</v>
      </c>
      <c r="Y29" s="30">
        <v>26.72</v>
      </c>
      <c r="Z29" s="30">
        <v>0.67</v>
      </c>
      <c r="AA29" s="30">
        <v>19.27</v>
      </c>
      <c r="AB29" s="30">
        <v>1.12</v>
      </c>
      <c r="AC29" s="30">
        <v>0.01</v>
      </c>
      <c r="AD29" s="30">
        <v>0.01</v>
      </c>
      <c r="AE29" s="30">
        <v>0</v>
      </c>
      <c r="AF29" s="30">
        <v>0.01</v>
      </c>
      <c r="AG29" s="30">
        <v>0</v>
      </c>
      <c r="AH29" s="29">
        <f t="shared" si="78"/>
        <v>100.52000000000002</v>
      </c>
      <c r="AJ29" s="40">
        <f t="shared" si="79"/>
        <v>1079.365271458571</v>
      </c>
      <c r="AK29" s="41">
        <f t="shared" si="0"/>
        <v>833.0142033912772</v>
      </c>
      <c r="AL29" s="40">
        <f t="shared" si="1"/>
        <v>866.5355023663286</v>
      </c>
      <c r="AN29" s="40">
        <f t="shared" si="2"/>
        <v>-0.3000074598879179</v>
      </c>
      <c r="AO29" s="40">
        <f t="shared" si="3"/>
        <v>-0.00936528572985793</v>
      </c>
      <c r="AP29" s="40">
        <f t="shared" si="4"/>
        <v>0.5566685633060798</v>
      </c>
      <c r="AQ29" s="64"/>
      <c r="AR29" s="71">
        <f t="shared" si="5"/>
        <v>0.16451320661782168</v>
      </c>
      <c r="AT29" s="29">
        <f t="shared" si="6"/>
        <v>0.7777374517848584</v>
      </c>
      <c r="AU29" s="29">
        <f t="shared" si="7"/>
        <v>4.727507704543195</v>
      </c>
      <c r="AV29" s="29">
        <f t="shared" si="80"/>
        <v>17.45960113168903</v>
      </c>
      <c r="AW29" s="29">
        <f t="shared" si="81"/>
        <v>56.251275968562986</v>
      </c>
      <c r="AX29" s="29">
        <f t="shared" si="8"/>
        <v>1.2703062583222369</v>
      </c>
      <c r="AY29" s="29">
        <f t="shared" si="9"/>
        <v>0.0028785982478097623</v>
      </c>
      <c r="AZ29" s="29">
        <f t="shared" si="10"/>
        <v>0.23283640643389564</v>
      </c>
      <c r="BA29" s="29">
        <f t="shared" si="11"/>
        <v>0.016423103688239387</v>
      </c>
      <c r="BB29" s="29">
        <f t="shared" si="12"/>
        <v>0.000140964195094446</v>
      </c>
      <c r="BC29" s="29">
        <f t="shared" si="13"/>
        <v>0.003473945409429281</v>
      </c>
      <c r="BD29" s="29">
        <f t="shared" si="14"/>
        <v>0.011947218259629102</v>
      </c>
      <c r="BE29" s="29">
        <f t="shared" si="15"/>
        <v>0.1361729590190384</v>
      </c>
      <c r="BF29" s="29">
        <f t="shared" si="16"/>
        <v>0.05944798301486199</v>
      </c>
      <c r="BG29" s="29">
        <f t="shared" si="17"/>
        <v>0</v>
      </c>
      <c r="BH29" s="29">
        <f t="shared" si="18"/>
        <v>0</v>
      </c>
      <c r="BI29" s="29">
        <f t="shared" si="19"/>
        <v>0</v>
      </c>
      <c r="BJ29" s="29">
        <f t="shared" si="82"/>
        <v>1.7336274365902349</v>
      </c>
      <c r="BK29" s="29">
        <f t="shared" si="83"/>
        <v>0.7327446667668828</v>
      </c>
      <c r="BL29" s="29">
        <f t="shared" si="84"/>
        <v>0.0016604480219068868</v>
      </c>
      <c r="BM29" s="29">
        <f t="shared" si="85"/>
        <v>0.13430590767059342</v>
      </c>
      <c r="BN29" s="29">
        <f t="shared" si="86"/>
        <v>0.009473260137449705</v>
      </c>
      <c r="BO29" s="29">
        <f t="shared" si="87"/>
        <v>8.131170061065705E-05</v>
      </c>
      <c r="BP29" s="29">
        <f t="shared" si="88"/>
        <v>0.002003859269937473</v>
      </c>
      <c r="BQ29" s="29">
        <f t="shared" si="89"/>
        <v>0.006891456611420128</v>
      </c>
      <c r="BR29" s="29">
        <f t="shared" si="90"/>
        <v>0.07854799488341543</v>
      </c>
      <c r="BS29" s="29">
        <f t="shared" si="91"/>
        <v>0.0342910949377835</v>
      </c>
      <c r="BT29" s="29">
        <f t="shared" si="92"/>
        <v>0</v>
      </c>
      <c r="BU29" s="29">
        <f t="shared" si="93"/>
        <v>0</v>
      </c>
      <c r="BV29" s="29">
        <f t="shared" si="94"/>
        <v>0</v>
      </c>
      <c r="BW29" s="29">
        <f t="shared" si="95"/>
        <v>1</v>
      </c>
      <c r="BX29" s="29">
        <f t="shared" si="21"/>
        <v>0.8615179760319573</v>
      </c>
      <c r="BY29" s="29">
        <f t="shared" si="22"/>
        <v>0.0011264080100125155</v>
      </c>
      <c r="BZ29" s="29">
        <f t="shared" si="23"/>
        <v>0.008434680266771284</v>
      </c>
      <c r="CA29" s="29">
        <f t="shared" si="24"/>
        <v>0.3718858733472512</v>
      </c>
      <c r="CB29" s="29">
        <f t="shared" si="25"/>
        <v>0.009444601071327883</v>
      </c>
      <c r="CC29" s="29">
        <f t="shared" si="26"/>
        <v>0.47816377171215885</v>
      </c>
      <c r="CD29" s="29">
        <f t="shared" si="27"/>
        <v>0.019971469329529246</v>
      </c>
      <c r="CE29" s="29">
        <f t="shared" si="28"/>
        <v>0.0001613423685059697</v>
      </c>
      <c r="CF29" s="29">
        <f t="shared" si="29"/>
        <v>0.00010615711252653928</v>
      </c>
      <c r="CG29" s="29">
        <f t="shared" si="30"/>
        <v>0</v>
      </c>
      <c r="CH29" s="29">
        <f t="shared" si="31"/>
        <v>6.579025277930924E-05</v>
      </c>
      <c r="CI29" s="29">
        <f t="shared" si="32"/>
        <v>1.7508780695028203</v>
      </c>
      <c r="CK29" s="29">
        <f t="shared" si="33"/>
        <v>0.5435576437332027</v>
      </c>
      <c r="CM29" s="29">
        <f t="shared" si="107"/>
        <v>1.7230359520639147</v>
      </c>
      <c r="CN29" s="29">
        <f t="shared" si="107"/>
        <v>0.002252816020025031</v>
      </c>
      <c r="CO29" s="29">
        <f t="shared" si="35"/>
        <v>0.02530404080031385</v>
      </c>
      <c r="CP29" s="29">
        <f t="shared" si="108"/>
        <v>0.3718858733472512</v>
      </c>
      <c r="CQ29" s="29">
        <f t="shared" si="108"/>
        <v>0.009444601071327883</v>
      </c>
      <c r="CR29" s="29">
        <f t="shared" si="108"/>
        <v>0.47816377171215885</v>
      </c>
      <c r="CS29" s="29">
        <f t="shared" si="106"/>
        <v>0.019971469329529246</v>
      </c>
      <c r="CT29" s="29">
        <f t="shared" si="106"/>
        <v>0.0001613423685059697</v>
      </c>
      <c r="CU29" s="29">
        <f t="shared" si="106"/>
        <v>0.00010615711252653928</v>
      </c>
      <c r="CV29" s="29">
        <f t="shared" si="100"/>
        <v>0</v>
      </c>
      <c r="CW29" s="29">
        <f t="shared" si="37"/>
        <v>0.0001973707583379277</v>
      </c>
      <c r="CX29" s="29">
        <f t="shared" si="38"/>
        <v>2.6305233945838915</v>
      </c>
      <c r="CY29" s="29">
        <f t="shared" si="39"/>
        <v>2.280914897907269</v>
      </c>
      <c r="CZ29" s="29">
        <f t="shared" si="40"/>
        <v>1.9650491863462092</v>
      </c>
      <c r="DA29" s="29">
        <f t="shared" si="41"/>
        <v>0.002569240811159627</v>
      </c>
      <c r="DB29" s="29">
        <f t="shared" si="42"/>
        <v>0.03847757575912616</v>
      </c>
      <c r="DC29" s="29">
        <f t="shared" si="43"/>
        <v>1.967618427157369</v>
      </c>
      <c r="DD29" s="29">
        <f t="shared" si="44"/>
        <v>0.034950813653790824</v>
      </c>
      <c r="DE29" s="29">
        <f t="shared" si="45"/>
        <v>0.0035267621053353335</v>
      </c>
      <c r="DF29" s="29">
        <f t="shared" si="46"/>
        <v>0.8482400288390011</v>
      </c>
      <c r="DG29" s="29">
        <f t="shared" si="47"/>
        <v>0.021542331288382722</v>
      </c>
      <c r="DH29" s="29">
        <f t="shared" si="48"/>
        <v>1.0906508705377935</v>
      </c>
      <c r="DI29" s="29">
        <f t="shared" si="49"/>
        <v>0.045553221926821354</v>
      </c>
      <c r="DJ29" s="29">
        <f t="shared" si="50"/>
        <v>0.0007360164239778216</v>
      </c>
      <c r="DK29" s="29">
        <f t="shared" si="51"/>
        <v>0.00048427067896120364</v>
      </c>
      <c r="DL29" s="29">
        <f t="shared" si="52"/>
        <v>0</v>
      </c>
      <c r="DM29" s="29">
        <f t="shared" si="53"/>
        <v>0.0003001239354028231</v>
      </c>
      <c r="DN29" s="31">
        <f t="shared" si="54"/>
        <v>4.013602866546835</v>
      </c>
      <c r="DP29" s="29">
        <f t="shared" si="55"/>
        <v>0.0007360164239778216</v>
      </c>
      <c r="DQ29" s="29">
        <f t="shared" si="56"/>
        <v>0.002569240811159627</v>
      </c>
      <c r="DR29" s="29">
        <f t="shared" si="57"/>
        <v>0.0003001239354028231</v>
      </c>
      <c r="DS29" s="31">
        <f t="shared" si="58"/>
        <v>0.002490621745954689</v>
      </c>
      <c r="DT29" s="29">
        <f t="shared" si="59"/>
        <v>0.045553221926821354</v>
      </c>
      <c r="DU29" s="29">
        <f t="shared" si="60"/>
        <v>0.9549100730906208</v>
      </c>
      <c r="DV29" s="29">
        <f t="shared" si="61"/>
        <v>1.006559297933937</v>
      </c>
      <c r="DW29" s="29">
        <f t="shared" si="62"/>
        <v>9.496458132856672</v>
      </c>
      <c r="DX29" s="29">
        <f t="shared" si="63"/>
        <v>2.7913455931601066</v>
      </c>
      <c r="EA29" s="29">
        <f t="shared" si="64"/>
        <v>0.7327446667668828</v>
      </c>
      <c r="EB29" s="29">
        <f t="shared" si="65"/>
        <v>0.018449887719417964</v>
      </c>
      <c r="EC29" s="29">
        <f t="shared" si="66"/>
        <v>-0.5164156589392382</v>
      </c>
      <c r="ED29" s="29">
        <f t="shared" si="67"/>
        <v>99.29073334385953</v>
      </c>
      <c r="EE29" s="29">
        <f t="shared" si="96"/>
        <v>15259.591792552683</v>
      </c>
      <c r="EF29" s="29">
        <f t="shared" si="97"/>
        <v>11.282380402327384</v>
      </c>
      <c r="EG29" s="29">
        <f t="shared" si="98"/>
        <v>1352.515271458571</v>
      </c>
      <c r="EH29" s="29">
        <f t="shared" si="68"/>
        <v>850</v>
      </c>
      <c r="EI29" s="29">
        <f t="shared" si="69"/>
        <v>832.9171809392863</v>
      </c>
      <c r="EK29" s="29">
        <f t="shared" si="70"/>
        <v>0.05691176392356623</v>
      </c>
      <c r="EL29" s="29">
        <f t="shared" si="71"/>
        <v>0.15</v>
      </c>
      <c r="EM29" s="31">
        <f t="shared" si="72"/>
        <v>4.187371877293984</v>
      </c>
      <c r="EN29" s="31">
        <f t="shared" si="73"/>
        <v>4.009823099465393</v>
      </c>
      <c r="EO29" s="31">
        <f t="shared" si="74"/>
        <v>12.51976400966961</v>
      </c>
      <c r="EP29" s="31">
        <f t="shared" si="75"/>
        <v>0.17459601131689031</v>
      </c>
      <c r="EQ29" s="31">
        <f t="shared" si="76"/>
        <v>866.5355023663286</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T162"/>
  <sheetViews>
    <sheetView workbookViewId="0" topLeftCell="A1">
      <selection activeCell="C6" sqref="C6"/>
    </sheetView>
  </sheetViews>
  <sheetFormatPr defaultColWidth="11.00390625" defaultRowHeight="12.75"/>
  <cols>
    <col min="3" max="3" width="14.375" style="0" customWidth="1"/>
    <col min="5" max="5" width="7.00390625" style="0" customWidth="1"/>
    <col min="10" max="10" width="4.375" style="0" customWidth="1"/>
  </cols>
  <sheetData>
    <row r="1" ht="24.75">
      <c r="A1" s="72" t="s">
        <v>97</v>
      </c>
    </row>
    <row r="3" spans="2:4" ht="18.75" thickBot="1">
      <c r="B3" s="73" t="s">
        <v>88</v>
      </c>
      <c r="C3" s="74"/>
      <c r="D3" s="75"/>
    </row>
    <row r="4" spans="2:4" ht="18.75" thickBot="1">
      <c r="B4" s="76"/>
      <c r="C4" s="77">
        <v>0.29</v>
      </c>
      <c r="D4" s="78"/>
    </row>
    <row r="5" spans="2:12" ht="18.75" thickBot="1">
      <c r="B5" s="73" t="s">
        <v>89</v>
      </c>
      <c r="C5" s="79"/>
      <c r="D5" s="75"/>
      <c r="G5" s="80" t="s">
        <v>90</v>
      </c>
      <c r="L5" s="80" t="s">
        <v>91</v>
      </c>
    </row>
    <row r="6" spans="2:12" ht="18.75" thickBot="1">
      <c r="B6" s="81"/>
      <c r="C6" s="77">
        <v>0.06</v>
      </c>
      <c r="D6" s="78"/>
      <c r="G6" s="82">
        <f>C4-C6</f>
        <v>0.22999999999999998</v>
      </c>
      <c r="L6" s="82">
        <f>C4+C6</f>
        <v>0.35</v>
      </c>
    </row>
    <row r="7" spans="1:2" ht="15.75">
      <c r="A7" s="80"/>
      <c r="B7" s="80"/>
    </row>
    <row r="8" spans="3:14" ht="12.75">
      <c r="C8" t="s">
        <v>92</v>
      </c>
      <c r="D8" t="s">
        <v>92</v>
      </c>
      <c r="H8" t="s">
        <v>92</v>
      </c>
      <c r="I8" t="s">
        <v>92</v>
      </c>
      <c r="M8" t="s">
        <v>92</v>
      </c>
      <c r="N8" t="s">
        <v>92</v>
      </c>
    </row>
    <row r="9" spans="1:14" ht="12.75">
      <c r="A9" s="83" t="s">
        <v>93</v>
      </c>
      <c r="B9" s="83" t="s">
        <v>94</v>
      </c>
      <c r="C9" s="83" t="s">
        <v>95</v>
      </c>
      <c r="D9" s="83" t="s">
        <v>96</v>
      </c>
      <c r="F9" s="83" t="s">
        <v>93</v>
      </c>
      <c r="G9" s="83" t="s">
        <v>94</v>
      </c>
      <c r="H9" s="83" t="s">
        <v>95</v>
      </c>
      <c r="I9" s="83" t="s">
        <v>96</v>
      </c>
      <c r="K9" s="83" t="s">
        <v>93</v>
      </c>
      <c r="L9" s="83" t="s">
        <v>94</v>
      </c>
      <c r="M9" s="83" t="s">
        <v>95</v>
      </c>
      <c r="N9" s="83" t="s">
        <v>96</v>
      </c>
    </row>
    <row r="10" spans="1:14" ht="15.75">
      <c r="A10">
        <v>0</v>
      </c>
      <c r="B10">
        <f aca="true" t="shared" si="0" ref="B10:B41">$C$4*A10</f>
        <v>0</v>
      </c>
      <c r="C10" s="80">
        <f>100*B10/(B10+1)</f>
        <v>0</v>
      </c>
      <c r="D10" s="80">
        <f>100*A10/(A10+1)</f>
        <v>0</v>
      </c>
      <c r="F10">
        <f>A10</f>
        <v>0</v>
      </c>
      <c r="G10">
        <f aca="true" t="shared" si="1" ref="G10:G41">$G$6*A10</f>
        <v>0</v>
      </c>
      <c r="H10" s="80">
        <f aca="true" t="shared" si="2" ref="H10:H40">100*G10/(G10+1)</f>
        <v>0</v>
      </c>
      <c r="I10" s="80">
        <f aca="true" t="shared" si="3" ref="I10:I41">100*F10/(F10+1)</f>
        <v>0</v>
      </c>
      <c r="K10">
        <f>A10</f>
        <v>0</v>
      </c>
      <c r="L10">
        <f aca="true" t="shared" si="4" ref="L10:L41">$L$6*K10</f>
        <v>0</v>
      </c>
      <c r="M10" s="80">
        <f>100*L10/(L10+1)</f>
        <v>0</v>
      </c>
      <c r="N10" s="80">
        <f>100*K10/(K10+1)</f>
        <v>0</v>
      </c>
    </row>
    <row r="11" spans="1:14" ht="15.75">
      <c r="A11">
        <v>0.1</v>
      </c>
      <c r="B11">
        <f t="shared" si="0"/>
        <v>0.028999999999999998</v>
      </c>
      <c r="C11" s="80">
        <f aca="true" t="shared" si="5" ref="C11:C41">100*B11/(B11+1)</f>
        <v>2.818270165208941</v>
      </c>
      <c r="D11" s="80">
        <f aca="true" t="shared" si="6" ref="D11:D41">100*A11/(A11+1)</f>
        <v>9.09090909090909</v>
      </c>
      <c r="F11">
        <f aca="true" t="shared" si="7" ref="F11:F41">A11</f>
        <v>0.1</v>
      </c>
      <c r="G11">
        <f t="shared" si="1"/>
        <v>0.023</v>
      </c>
      <c r="H11" s="80">
        <f t="shared" si="2"/>
        <v>2.248289345063539</v>
      </c>
      <c r="I11" s="80">
        <f t="shared" si="3"/>
        <v>9.09090909090909</v>
      </c>
      <c r="K11">
        <f aca="true" t="shared" si="8" ref="K11:K41">A11</f>
        <v>0.1</v>
      </c>
      <c r="L11">
        <f t="shared" si="4"/>
        <v>0.034999999999999996</v>
      </c>
      <c r="M11" s="80">
        <f aca="true" t="shared" si="9" ref="M11:M41">100*L11/(L11+1)</f>
        <v>3.3816425120772946</v>
      </c>
      <c r="N11" s="80">
        <f aca="true" t="shared" si="10" ref="N11:N41">100*K11/(K11+1)</f>
        <v>9.09090909090909</v>
      </c>
    </row>
    <row r="12" spans="1:14" ht="15.75">
      <c r="A12">
        <v>0.2</v>
      </c>
      <c r="B12">
        <f t="shared" si="0"/>
        <v>0.057999999999999996</v>
      </c>
      <c r="C12" s="80">
        <f t="shared" si="5"/>
        <v>5.482041587901701</v>
      </c>
      <c r="D12" s="80">
        <f t="shared" si="6"/>
        <v>16.666666666666668</v>
      </c>
      <c r="F12">
        <f t="shared" si="7"/>
        <v>0.2</v>
      </c>
      <c r="G12">
        <f t="shared" si="1"/>
        <v>0.046</v>
      </c>
      <c r="H12" s="80">
        <f t="shared" si="2"/>
        <v>4.3977055449330775</v>
      </c>
      <c r="I12" s="80">
        <f t="shared" si="3"/>
        <v>16.666666666666668</v>
      </c>
      <c r="K12">
        <f t="shared" si="8"/>
        <v>0.2</v>
      </c>
      <c r="L12">
        <f t="shared" si="4"/>
        <v>0.06999999999999999</v>
      </c>
      <c r="M12" s="80">
        <f t="shared" si="9"/>
        <v>6.542056074766354</v>
      </c>
      <c r="N12" s="80">
        <f t="shared" si="10"/>
        <v>16.666666666666668</v>
      </c>
    </row>
    <row r="13" spans="1:14" ht="15.75">
      <c r="A13">
        <v>0.3</v>
      </c>
      <c r="B13">
        <f t="shared" si="0"/>
        <v>0.087</v>
      </c>
      <c r="C13" s="80">
        <f>100*B13/(B13+1)</f>
        <v>8.003679852805888</v>
      </c>
      <c r="D13" s="80">
        <f t="shared" si="6"/>
        <v>23.076923076923077</v>
      </c>
      <c r="F13">
        <f t="shared" si="7"/>
        <v>0.3</v>
      </c>
      <c r="G13">
        <f t="shared" si="1"/>
        <v>0.06899999999999999</v>
      </c>
      <c r="H13" s="80">
        <f t="shared" si="2"/>
        <v>6.454630495790458</v>
      </c>
      <c r="I13" s="80">
        <f t="shared" si="3"/>
        <v>23.076923076923077</v>
      </c>
      <c r="K13">
        <f t="shared" si="8"/>
        <v>0.3</v>
      </c>
      <c r="L13">
        <f t="shared" si="4"/>
        <v>0.105</v>
      </c>
      <c r="M13" s="80">
        <f t="shared" si="9"/>
        <v>9.502262443438914</v>
      </c>
      <c r="N13" s="80">
        <f t="shared" si="10"/>
        <v>23.076923076923077</v>
      </c>
    </row>
    <row r="14" spans="1:14" ht="15.75">
      <c r="A14">
        <v>0.4</v>
      </c>
      <c r="B14">
        <f t="shared" si="0"/>
        <v>0.11599999999999999</v>
      </c>
      <c r="C14" s="80">
        <f t="shared" si="5"/>
        <v>10.39426523297491</v>
      </c>
      <c r="D14" s="80">
        <f t="shared" si="6"/>
        <v>28.571428571428573</v>
      </c>
      <c r="F14">
        <f t="shared" si="7"/>
        <v>0.4</v>
      </c>
      <c r="G14">
        <f t="shared" si="1"/>
        <v>0.092</v>
      </c>
      <c r="H14" s="80">
        <f t="shared" si="2"/>
        <v>8.424908424908423</v>
      </c>
      <c r="I14" s="80">
        <f t="shared" si="3"/>
        <v>28.571428571428573</v>
      </c>
      <c r="K14">
        <f t="shared" si="8"/>
        <v>0.4</v>
      </c>
      <c r="L14">
        <f t="shared" si="4"/>
        <v>0.13999999999999999</v>
      </c>
      <c r="M14" s="80">
        <f t="shared" si="9"/>
        <v>12.280701754385964</v>
      </c>
      <c r="N14" s="80">
        <f t="shared" si="10"/>
        <v>28.571428571428573</v>
      </c>
    </row>
    <row r="15" spans="1:14" ht="15.75">
      <c r="A15">
        <v>0.5</v>
      </c>
      <c r="B15">
        <f t="shared" si="0"/>
        <v>0.145</v>
      </c>
      <c r="C15" s="80">
        <f t="shared" si="5"/>
        <v>12.663755458515283</v>
      </c>
      <c r="D15" s="80">
        <f t="shared" si="6"/>
        <v>33.333333333333336</v>
      </c>
      <c r="F15">
        <f t="shared" si="7"/>
        <v>0.5</v>
      </c>
      <c r="G15">
        <f t="shared" si="1"/>
        <v>0.11499999999999999</v>
      </c>
      <c r="H15" s="80">
        <f t="shared" si="2"/>
        <v>10.31390134529148</v>
      </c>
      <c r="I15" s="80">
        <f t="shared" si="3"/>
        <v>33.333333333333336</v>
      </c>
      <c r="K15">
        <f t="shared" si="8"/>
        <v>0.5</v>
      </c>
      <c r="L15">
        <f t="shared" si="4"/>
        <v>0.175</v>
      </c>
      <c r="M15" s="80">
        <f t="shared" si="9"/>
        <v>14.893617021276595</v>
      </c>
      <c r="N15" s="80">
        <f t="shared" si="10"/>
        <v>33.333333333333336</v>
      </c>
    </row>
    <row r="16" spans="1:14" ht="15.75">
      <c r="A16">
        <v>0.6</v>
      </c>
      <c r="B16">
        <f t="shared" si="0"/>
        <v>0.174</v>
      </c>
      <c r="C16" s="80">
        <f t="shared" si="5"/>
        <v>14.821124361158432</v>
      </c>
      <c r="D16" s="80">
        <f t="shared" si="6"/>
        <v>37.5</v>
      </c>
      <c r="F16">
        <f t="shared" si="7"/>
        <v>0.6</v>
      </c>
      <c r="G16">
        <f t="shared" si="1"/>
        <v>0.13799999999999998</v>
      </c>
      <c r="H16" s="80">
        <f t="shared" si="2"/>
        <v>12.126537785588752</v>
      </c>
      <c r="I16" s="80">
        <f t="shared" si="3"/>
        <v>37.5</v>
      </c>
      <c r="K16">
        <f t="shared" si="8"/>
        <v>0.6</v>
      </c>
      <c r="L16">
        <f t="shared" si="4"/>
        <v>0.21</v>
      </c>
      <c r="M16" s="80">
        <f t="shared" si="9"/>
        <v>17.355371900826448</v>
      </c>
      <c r="N16" s="80">
        <f t="shared" si="10"/>
        <v>37.5</v>
      </c>
    </row>
    <row r="17" spans="1:14" ht="15.75">
      <c r="A17">
        <v>0.7</v>
      </c>
      <c r="B17">
        <f t="shared" si="0"/>
        <v>0.20299999999999999</v>
      </c>
      <c r="C17" s="80">
        <f t="shared" si="5"/>
        <v>16.874480465502906</v>
      </c>
      <c r="D17" s="80">
        <f t="shared" si="6"/>
        <v>41.1764705882353</v>
      </c>
      <c r="F17">
        <f t="shared" si="7"/>
        <v>0.7</v>
      </c>
      <c r="G17">
        <f t="shared" si="1"/>
        <v>0.16099999999999998</v>
      </c>
      <c r="H17" s="80">
        <f t="shared" si="2"/>
        <v>13.867355727820842</v>
      </c>
      <c r="I17" s="80">
        <f t="shared" si="3"/>
        <v>41.1764705882353</v>
      </c>
      <c r="K17">
        <f t="shared" si="8"/>
        <v>0.7</v>
      </c>
      <c r="L17">
        <f t="shared" si="4"/>
        <v>0.24499999999999997</v>
      </c>
      <c r="M17" s="80">
        <f t="shared" si="9"/>
        <v>19.67871485943775</v>
      </c>
      <c r="N17" s="80">
        <f t="shared" si="10"/>
        <v>41.1764705882353</v>
      </c>
    </row>
    <row r="18" spans="1:14" ht="15.75">
      <c r="A18">
        <v>0.8</v>
      </c>
      <c r="B18">
        <f t="shared" si="0"/>
        <v>0.23199999999999998</v>
      </c>
      <c r="C18" s="80">
        <f t="shared" si="5"/>
        <v>18.83116883116883</v>
      </c>
      <c r="D18" s="80">
        <f t="shared" si="6"/>
        <v>44.44444444444444</v>
      </c>
      <c r="F18">
        <f t="shared" si="7"/>
        <v>0.8</v>
      </c>
      <c r="G18">
        <f t="shared" si="1"/>
        <v>0.184</v>
      </c>
      <c r="H18" s="80">
        <f t="shared" si="2"/>
        <v>15.54054054054054</v>
      </c>
      <c r="I18" s="80">
        <f t="shared" si="3"/>
        <v>44.44444444444444</v>
      </c>
      <c r="K18">
        <f t="shared" si="8"/>
        <v>0.8</v>
      </c>
      <c r="L18">
        <f t="shared" si="4"/>
        <v>0.27999999999999997</v>
      </c>
      <c r="M18" s="80">
        <f t="shared" si="9"/>
        <v>21.874999999999996</v>
      </c>
      <c r="N18" s="80">
        <f t="shared" si="10"/>
        <v>44.44444444444444</v>
      </c>
    </row>
    <row r="19" spans="1:14" ht="15.75">
      <c r="A19">
        <v>0.9</v>
      </c>
      <c r="B19">
        <f t="shared" si="0"/>
        <v>0.261</v>
      </c>
      <c r="C19" s="80">
        <f t="shared" si="5"/>
        <v>20.697858842188737</v>
      </c>
      <c r="D19" s="80">
        <f t="shared" si="6"/>
        <v>47.36842105263158</v>
      </c>
      <c r="F19">
        <f t="shared" si="7"/>
        <v>0.9</v>
      </c>
      <c r="G19">
        <f t="shared" si="1"/>
        <v>0.207</v>
      </c>
      <c r="H19" s="80">
        <f t="shared" si="2"/>
        <v>17.149958574979287</v>
      </c>
      <c r="I19" s="80">
        <f t="shared" si="3"/>
        <v>47.36842105263158</v>
      </c>
      <c r="K19">
        <f t="shared" si="8"/>
        <v>0.9</v>
      </c>
      <c r="L19">
        <f t="shared" si="4"/>
        <v>0.315</v>
      </c>
      <c r="M19" s="80">
        <f t="shared" si="9"/>
        <v>23.954372623574145</v>
      </c>
      <c r="N19" s="80">
        <f t="shared" si="10"/>
        <v>47.36842105263158</v>
      </c>
    </row>
    <row r="20" spans="1:14" ht="15.75">
      <c r="A20">
        <v>1</v>
      </c>
      <c r="B20">
        <f t="shared" si="0"/>
        <v>0.29</v>
      </c>
      <c r="C20" s="80">
        <f t="shared" si="5"/>
        <v>22.480620155038757</v>
      </c>
      <c r="D20" s="80">
        <f t="shared" si="6"/>
        <v>50</v>
      </c>
      <c r="F20">
        <f t="shared" si="7"/>
        <v>1</v>
      </c>
      <c r="G20">
        <f t="shared" si="1"/>
        <v>0.22999999999999998</v>
      </c>
      <c r="H20" s="80">
        <f t="shared" si="2"/>
        <v>18.69918699186992</v>
      </c>
      <c r="I20" s="80">
        <f t="shared" si="3"/>
        <v>50</v>
      </c>
      <c r="K20">
        <f t="shared" si="8"/>
        <v>1</v>
      </c>
      <c r="L20">
        <f t="shared" si="4"/>
        <v>0.35</v>
      </c>
      <c r="M20" s="80">
        <f t="shared" si="9"/>
        <v>25.925925925925924</v>
      </c>
      <c r="N20" s="80">
        <f t="shared" si="10"/>
        <v>50</v>
      </c>
    </row>
    <row r="21" spans="1:14" ht="15.75">
      <c r="A21">
        <v>1.1</v>
      </c>
      <c r="B21">
        <f t="shared" si="0"/>
        <v>0.319</v>
      </c>
      <c r="C21" s="80">
        <f t="shared" si="5"/>
        <v>24.184988627748297</v>
      </c>
      <c r="D21" s="80">
        <f t="shared" si="6"/>
        <v>52.38095238095239</v>
      </c>
      <c r="F21">
        <f t="shared" si="7"/>
        <v>1.1</v>
      </c>
      <c r="G21">
        <f t="shared" si="1"/>
        <v>0.253</v>
      </c>
      <c r="H21" s="80">
        <f t="shared" si="2"/>
        <v>20.191540303272145</v>
      </c>
      <c r="I21" s="80">
        <f t="shared" si="3"/>
        <v>52.38095238095239</v>
      </c>
      <c r="K21">
        <f t="shared" si="8"/>
        <v>1.1</v>
      </c>
      <c r="L21">
        <f t="shared" si="4"/>
        <v>0.385</v>
      </c>
      <c r="M21" s="80">
        <f t="shared" si="9"/>
        <v>27.79783393501805</v>
      </c>
      <c r="N21" s="80">
        <f t="shared" si="10"/>
        <v>52.38095238095239</v>
      </c>
    </row>
    <row r="22" spans="1:14" ht="15.75">
      <c r="A22">
        <v>1.2</v>
      </c>
      <c r="B22">
        <f t="shared" si="0"/>
        <v>0.348</v>
      </c>
      <c r="C22" s="80">
        <f t="shared" si="5"/>
        <v>25.816023738872403</v>
      </c>
      <c r="D22" s="80">
        <f t="shared" si="6"/>
        <v>54.54545454545454</v>
      </c>
      <c r="F22">
        <f t="shared" si="7"/>
        <v>1.2</v>
      </c>
      <c r="G22">
        <f t="shared" si="1"/>
        <v>0.27599999999999997</v>
      </c>
      <c r="H22" s="80">
        <f t="shared" si="2"/>
        <v>21.630094043887144</v>
      </c>
      <c r="I22" s="80">
        <f t="shared" si="3"/>
        <v>54.54545454545454</v>
      </c>
      <c r="K22">
        <f t="shared" si="8"/>
        <v>1.2</v>
      </c>
      <c r="L22">
        <f t="shared" si="4"/>
        <v>0.42</v>
      </c>
      <c r="M22" s="80">
        <f t="shared" si="9"/>
        <v>29.577464788732396</v>
      </c>
      <c r="N22" s="80">
        <f t="shared" si="10"/>
        <v>54.54545454545454</v>
      </c>
    </row>
    <row r="23" spans="1:14" ht="15.75">
      <c r="A23">
        <v>1.3</v>
      </c>
      <c r="B23">
        <f t="shared" si="0"/>
        <v>0.377</v>
      </c>
      <c r="C23" s="80">
        <f t="shared" si="5"/>
        <v>27.378358750907772</v>
      </c>
      <c r="D23" s="80">
        <f t="shared" si="6"/>
        <v>56.52173913043479</v>
      </c>
      <c r="F23">
        <f t="shared" si="7"/>
        <v>1.3</v>
      </c>
      <c r="G23">
        <f t="shared" si="1"/>
        <v>0.299</v>
      </c>
      <c r="H23" s="80">
        <f t="shared" si="2"/>
        <v>23.017705927636644</v>
      </c>
      <c r="I23" s="80">
        <f t="shared" si="3"/>
        <v>56.52173913043479</v>
      </c>
      <c r="K23">
        <f t="shared" si="8"/>
        <v>1.3</v>
      </c>
      <c r="L23">
        <f t="shared" si="4"/>
        <v>0.45499999999999996</v>
      </c>
      <c r="M23" s="80">
        <f t="shared" si="9"/>
        <v>31.271477663230232</v>
      </c>
      <c r="N23" s="80">
        <f t="shared" si="10"/>
        <v>56.52173913043479</v>
      </c>
    </row>
    <row r="24" spans="1:14" ht="15.75">
      <c r="A24">
        <v>1.4</v>
      </c>
      <c r="B24">
        <f t="shared" si="0"/>
        <v>0.40599999999999997</v>
      </c>
      <c r="C24" s="80">
        <f t="shared" si="5"/>
        <v>28.876244665718346</v>
      </c>
      <c r="D24" s="80">
        <f t="shared" si="6"/>
        <v>58.333333333333336</v>
      </c>
      <c r="F24">
        <f t="shared" si="7"/>
        <v>1.4</v>
      </c>
      <c r="G24">
        <f t="shared" si="1"/>
        <v>0.32199999999999995</v>
      </c>
      <c r="H24" s="80">
        <f t="shared" si="2"/>
        <v>24.35703479576399</v>
      </c>
      <c r="I24" s="80">
        <f t="shared" si="3"/>
        <v>58.333333333333336</v>
      </c>
      <c r="K24">
        <f t="shared" si="8"/>
        <v>1.4</v>
      </c>
      <c r="L24">
        <f t="shared" si="4"/>
        <v>0.48999999999999994</v>
      </c>
      <c r="M24" s="80">
        <f t="shared" si="9"/>
        <v>32.88590604026845</v>
      </c>
      <c r="N24" s="80">
        <f t="shared" si="10"/>
        <v>58.333333333333336</v>
      </c>
    </row>
    <row r="25" spans="1:14" ht="15.75">
      <c r="A25">
        <v>1.5</v>
      </c>
      <c r="B25">
        <f t="shared" si="0"/>
        <v>0.43499999999999994</v>
      </c>
      <c r="C25" s="80">
        <f t="shared" si="5"/>
        <v>30.31358885017421</v>
      </c>
      <c r="D25" s="80">
        <f t="shared" si="6"/>
        <v>60</v>
      </c>
      <c r="F25">
        <f t="shared" si="7"/>
        <v>1.5</v>
      </c>
      <c r="G25">
        <f t="shared" si="1"/>
        <v>0.345</v>
      </c>
      <c r="H25" s="80">
        <f t="shared" si="2"/>
        <v>25.650557620817846</v>
      </c>
      <c r="I25" s="80">
        <f t="shared" si="3"/>
        <v>60</v>
      </c>
      <c r="K25">
        <f t="shared" si="8"/>
        <v>1.5</v>
      </c>
      <c r="L25">
        <f t="shared" si="4"/>
        <v>0.5249999999999999</v>
      </c>
      <c r="M25" s="80">
        <f t="shared" si="9"/>
        <v>34.42622950819672</v>
      </c>
      <c r="N25" s="80">
        <f t="shared" si="10"/>
        <v>60</v>
      </c>
    </row>
    <row r="26" spans="1:14" ht="15.75">
      <c r="A26">
        <v>1.6</v>
      </c>
      <c r="B26">
        <f t="shared" si="0"/>
        <v>0.46399999999999997</v>
      </c>
      <c r="C26" s="80">
        <f t="shared" si="5"/>
        <v>31.693989071038253</v>
      </c>
      <c r="D26" s="80">
        <f t="shared" si="6"/>
        <v>61.53846153846153</v>
      </c>
      <c r="F26">
        <f t="shared" si="7"/>
        <v>1.6</v>
      </c>
      <c r="G26">
        <f t="shared" si="1"/>
        <v>0.368</v>
      </c>
      <c r="H26" s="80">
        <f t="shared" si="2"/>
        <v>26.900584795321638</v>
      </c>
      <c r="I26" s="80">
        <f t="shared" si="3"/>
        <v>61.53846153846153</v>
      </c>
      <c r="K26">
        <f t="shared" si="8"/>
        <v>1.6</v>
      </c>
      <c r="L26">
        <f t="shared" si="4"/>
        <v>0.5599999999999999</v>
      </c>
      <c r="M26" s="80">
        <f t="shared" si="9"/>
        <v>35.89743589743589</v>
      </c>
      <c r="N26" s="80">
        <f t="shared" si="10"/>
        <v>61.53846153846153</v>
      </c>
    </row>
    <row r="27" spans="1:14" ht="15.75">
      <c r="A27">
        <v>1.7</v>
      </c>
      <c r="B27">
        <f t="shared" si="0"/>
        <v>0.49299999999999994</v>
      </c>
      <c r="C27" s="80">
        <f t="shared" si="5"/>
        <v>33.02076356329538</v>
      </c>
      <c r="D27" s="80">
        <f t="shared" si="6"/>
        <v>62.96296296296296</v>
      </c>
      <c r="F27">
        <f t="shared" si="7"/>
        <v>1.7</v>
      </c>
      <c r="G27">
        <f t="shared" si="1"/>
        <v>0.39099999999999996</v>
      </c>
      <c r="H27" s="80">
        <f t="shared" si="2"/>
        <v>28.109273903666423</v>
      </c>
      <c r="I27" s="80">
        <f t="shared" si="3"/>
        <v>62.96296296296296</v>
      </c>
      <c r="K27">
        <f t="shared" si="8"/>
        <v>1.7</v>
      </c>
      <c r="L27">
        <f t="shared" si="4"/>
        <v>0.595</v>
      </c>
      <c r="M27" s="80">
        <f t="shared" si="9"/>
        <v>37.30407523510972</v>
      </c>
      <c r="N27" s="80">
        <f t="shared" si="10"/>
        <v>62.96296296296296</v>
      </c>
    </row>
    <row r="28" spans="1:14" ht="15.75">
      <c r="A28">
        <v>2.2</v>
      </c>
      <c r="B28">
        <f t="shared" si="0"/>
        <v>0.638</v>
      </c>
      <c r="C28" s="80">
        <f t="shared" si="5"/>
        <v>38.949938949938954</v>
      </c>
      <c r="D28" s="80">
        <f t="shared" si="6"/>
        <v>68.75</v>
      </c>
      <c r="F28">
        <f t="shared" si="7"/>
        <v>2.2</v>
      </c>
      <c r="G28">
        <f t="shared" si="1"/>
        <v>0.506</v>
      </c>
      <c r="H28" s="80">
        <f t="shared" si="2"/>
        <v>33.59893758300133</v>
      </c>
      <c r="I28" s="80">
        <f t="shared" si="3"/>
        <v>68.75</v>
      </c>
      <c r="K28">
        <f t="shared" si="8"/>
        <v>2.2</v>
      </c>
      <c r="L28">
        <f t="shared" si="4"/>
        <v>0.77</v>
      </c>
      <c r="M28" s="80">
        <f t="shared" si="9"/>
        <v>43.50282485875706</v>
      </c>
      <c r="N28" s="80">
        <f t="shared" si="10"/>
        <v>68.75</v>
      </c>
    </row>
    <row r="29" spans="1:14" ht="15.75">
      <c r="A29">
        <v>2.7</v>
      </c>
      <c r="B29">
        <f t="shared" si="0"/>
        <v>0.783</v>
      </c>
      <c r="C29" s="80">
        <f t="shared" si="5"/>
        <v>43.91475042063937</v>
      </c>
      <c r="D29" s="80">
        <f t="shared" si="6"/>
        <v>72.97297297297297</v>
      </c>
      <c r="F29">
        <f t="shared" si="7"/>
        <v>2.7</v>
      </c>
      <c r="G29">
        <f t="shared" si="1"/>
        <v>0.621</v>
      </c>
      <c r="H29" s="80">
        <f t="shared" si="2"/>
        <v>38.30968537939543</v>
      </c>
      <c r="I29" s="80">
        <f t="shared" si="3"/>
        <v>72.97297297297297</v>
      </c>
      <c r="K29">
        <f t="shared" si="8"/>
        <v>2.7</v>
      </c>
      <c r="L29">
        <f t="shared" si="4"/>
        <v>0.945</v>
      </c>
      <c r="M29" s="80">
        <f t="shared" si="9"/>
        <v>48.58611825192803</v>
      </c>
      <c r="N29" s="80">
        <f t="shared" si="10"/>
        <v>72.97297297297297</v>
      </c>
    </row>
    <row r="30" spans="1:14" ht="15.75">
      <c r="A30">
        <v>3.2</v>
      </c>
      <c r="B30">
        <f t="shared" si="0"/>
        <v>0.9279999999999999</v>
      </c>
      <c r="C30" s="80">
        <f t="shared" si="5"/>
        <v>48.13278008298755</v>
      </c>
      <c r="D30" s="80">
        <f t="shared" si="6"/>
        <v>76.19047619047619</v>
      </c>
      <c r="F30">
        <f t="shared" si="7"/>
        <v>3.2</v>
      </c>
      <c r="G30">
        <f t="shared" si="1"/>
        <v>0.736</v>
      </c>
      <c r="H30" s="80">
        <f t="shared" si="2"/>
        <v>42.396313364055295</v>
      </c>
      <c r="I30" s="80">
        <f t="shared" si="3"/>
        <v>76.19047619047619</v>
      </c>
      <c r="K30">
        <f t="shared" si="8"/>
        <v>3.2</v>
      </c>
      <c r="L30">
        <f t="shared" si="4"/>
        <v>1.1199999999999999</v>
      </c>
      <c r="M30" s="80">
        <f t="shared" si="9"/>
        <v>52.830188679245275</v>
      </c>
      <c r="N30" s="80">
        <f t="shared" si="10"/>
        <v>76.19047619047619</v>
      </c>
    </row>
    <row r="31" spans="1:14" ht="15.75">
      <c r="A31">
        <v>3.7</v>
      </c>
      <c r="B31">
        <f t="shared" si="0"/>
        <v>1.073</v>
      </c>
      <c r="C31" s="80">
        <f t="shared" si="5"/>
        <v>51.7607332368548</v>
      </c>
      <c r="D31" s="80">
        <f t="shared" si="6"/>
        <v>78.72340425531915</v>
      </c>
      <c r="F31">
        <f t="shared" si="7"/>
        <v>3.7</v>
      </c>
      <c r="G31">
        <f t="shared" si="1"/>
        <v>0.851</v>
      </c>
      <c r="H31" s="80">
        <f t="shared" si="2"/>
        <v>45.97514856834143</v>
      </c>
      <c r="I31" s="80">
        <f t="shared" si="3"/>
        <v>78.72340425531915</v>
      </c>
      <c r="K31">
        <f t="shared" si="8"/>
        <v>3.7</v>
      </c>
      <c r="L31">
        <f t="shared" si="4"/>
        <v>1.295</v>
      </c>
      <c r="M31" s="80">
        <f t="shared" si="9"/>
        <v>56.42701525054466</v>
      </c>
      <c r="N31" s="80">
        <f t="shared" si="10"/>
        <v>78.72340425531915</v>
      </c>
    </row>
    <row r="32" spans="1:14" ht="15.75">
      <c r="A32">
        <v>4.2</v>
      </c>
      <c r="B32">
        <f t="shared" si="0"/>
        <v>1.218</v>
      </c>
      <c r="C32" s="80">
        <f t="shared" si="5"/>
        <v>54.91433724075744</v>
      </c>
      <c r="D32" s="80">
        <f t="shared" si="6"/>
        <v>80.76923076923076</v>
      </c>
      <c r="F32">
        <f t="shared" si="7"/>
        <v>4.2</v>
      </c>
      <c r="G32">
        <f t="shared" si="1"/>
        <v>0.966</v>
      </c>
      <c r="H32" s="80">
        <f t="shared" si="2"/>
        <v>49.1353001017294</v>
      </c>
      <c r="I32" s="80">
        <f t="shared" si="3"/>
        <v>80.76923076923076</v>
      </c>
      <c r="K32">
        <f t="shared" si="8"/>
        <v>4.2</v>
      </c>
      <c r="L32">
        <f t="shared" si="4"/>
        <v>1.47</v>
      </c>
      <c r="M32" s="80">
        <f t="shared" si="9"/>
        <v>59.51417004048584</v>
      </c>
      <c r="N32" s="80">
        <f t="shared" si="10"/>
        <v>80.76923076923076</v>
      </c>
    </row>
    <row r="33" spans="1:14" ht="15.75">
      <c r="A33">
        <v>5.2</v>
      </c>
      <c r="B33">
        <f t="shared" si="0"/>
        <v>1.508</v>
      </c>
      <c r="C33" s="80">
        <f t="shared" si="5"/>
        <v>60.12759170653908</v>
      </c>
      <c r="D33" s="80">
        <f t="shared" si="6"/>
        <v>83.87096774193549</v>
      </c>
      <c r="F33">
        <f t="shared" si="7"/>
        <v>5.2</v>
      </c>
      <c r="G33">
        <f t="shared" si="1"/>
        <v>1.196</v>
      </c>
      <c r="H33" s="80">
        <f t="shared" si="2"/>
        <v>54.46265938069217</v>
      </c>
      <c r="I33" s="80">
        <f t="shared" si="3"/>
        <v>83.87096774193549</v>
      </c>
      <c r="K33">
        <f t="shared" si="8"/>
        <v>5.2</v>
      </c>
      <c r="L33">
        <f t="shared" si="4"/>
        <v>1.8199999999999998</v>
      </c>
      <c r="M33" s="80">
        <f t="shared" si="9"/>
        <v>64.53900709219857</v>
      </c>
      <c r="N33" s="80">
        <f t="shared" si="10"/>
        <v>83.87096774193549</v>
      </c>
    </row>
    <row r="34" spans="1:14" ht="15.75">
      <c r="A34">
        <v>6.2</v>
      </c>
      <c r="B34">
        <f t="shared" si="0"/>
        <v>1.7979999999999998</v>
      </c>
      <c r="C34" s="80">
        <f t="shared" si="5"/>
        <v>64.26018584703358</v>
      </c>
      <c r="D34" s="80">
        <f t="shared" si="6"/>
        <v>86.11111111111111</v>
      </c>
      <c r="F34">
        <f t="shared" si="7"/>
        <v>6.2</v>
      </c>
      <c r="G34">
        <f t="shared" si="1"/>
        <v>1.426</v>
      </c>
      <c r="H34" s="80">
        <f t="shared" si="2"/>
        <v>58.779884583676825</v>
      </c>
      <c r="I34" s="80">
        <f t="shared" si="3"/>
        <v>86.11111111111111</v>
      </c>
      <c r="K34">
        <f t="shared" si="8"/>
        <v>6.2</v>
      </c>
      <c r="L34">
        <f t="shared" si="4"/>
        <v>2.17</v>
      </c>
      <c r="M34" s="80">
        <f t="shared" si="9"/>
        <v>68.45425867507886</v>
      </c>
      <c r="N34" s="80">
        <f t="shared" si="10"/>
        <v>86.11111111111111</v>
      </c>
    </row>
    <row r="35" spans="1:14" ht="15.75">
      <c r="A35">
        <v>7.2</v>
      </c>
      <c r="B35">
        <f t="shared" si="0"/>
        <v>2.088</v>
      </c>
      <c r="C35" s="80">
        <f t="shared" si="5"/>
        <v>67.61658031088083</v>
      </c>
      <c r="D35" s="80">
        <f t="shared" si="6"/>
        <v>87.8048780487805</v>
      </c>
      <c r="F35">
        <f t="shared" si="7"/>
        <v>7.2</v>
      </c>
      <c r="G35">
        <f t="shared" si="1"/>
        <v>1.656</v>
      </c>
      <c r="H35" s="80">
        <f t="shared" si="2"/>
        <v>62.34939759036145</v>
      </c>
      <c r="I35" s="80">
        <f t="shared" si="3"/>
        <v>87.8048780487805</v>
      </c>
      <c r="K35">
        <f t="shared" si="8"/>
        <v>7.2</v>
      </c>
      <c r="L35">
        <f t="shared" si="4"/>
        <v>2.52</v>
      </c>
      <c r="M35" s="80">
        <f t="shared" si="9"/>
        <v>71.5909090909091</v>
      </c>
      <c r="N35" s="80">
        <f t="shared" si="10"/>
        <v>87.8048780487805</v>
      </c>
    </row>
    <row r="36" spans="1:14" ht="15.75">
      <c r="A36">
        <v>10</v>
      </c>
      <c r="B36">
        <f t="shared" si="0"/>
        <v>2.9</v>
      </c>
      <c r="C36" s="80">
        <f t="shared" si="5"/>
        <v>74.35897435897436</v>
      </c>
      <c r="D36" s="80">
        <f t="shared" si="6"/>
        <v>90.9090909090909</v>
      </c>
      <c r="F36">
        <f t="shared" si="7"/>
        <v>10</v>
      </c>
      <c r="G36">
        <f t="shared" si="1"/>
        <v>2.3</v>
      </c>
      <c r="H36" s="80">
        <f t="shared" si="2"/>
        <v>69.69696969696969</v>
      </c>
      <c r="I36" s="80">
        <f t="shared" si="3"/>
        <v>90.9090909090909</v>
      </c>
      <c r="K36">
        <f t="shared" si="8"/>
        <v>10</v>
      </c>
      <c r="L36">
        <f t="shared" si="4"/>
        <v>3.5</v>
      </c>
      <c r="M36" s="80">
        <f t="shared" si="9"/>
        <v>77.77777777777777</v>
      </c>
      <c r="N36" s="80">
        <f t="shared" si="10"/>
        <v>90.9090909090909</v>
      </c>
    </row>
    <row r="37" spans="1:14" ht="15.75">
      <c r="A37">
        <v>20</v>
      </c>
      <c r="B37">
        <f t="shared" si="0"/>
        <v>5.8</v>
      </c>
      <c r="C37" s="80">
        <f t="shared" si="5"/>
        <v>85.29411764705883</v>
      </c>
      <c r="D37" s="80">
        <f t="shared" si="6"/>
        <v>95.23809523809524</v>
      </c>
      <c r="F37">
        <f t="shared" si="7"/>
        <v>20</v>
      </c>
      <c r="G37">
        <f t="shared" si="1"/>
        <v>4.6</v>
      </c>
      <c r="H37" s="80">
        <f t="shared" si="2"/>
        <v>82.14285714285714</v>
      </c>
      <c r="I37" s="80">
        <f t="shared" si="3"/>
        <v>95.23809523809524</v>
      </c>
      <c r="K37">
        <f t="shared" si="8"/>
        <v>20</v>
      </c>
      <c r="L37">
        <f t="shared" si="4"/>
        <v>7</v>
      </c>
      <c r="M37" s="80">
        <f t="shared" si="9"/>
        <v>87.5</v>
      </c>
      <c r="N37" s="80">
        <f t="shared" si="10"/>
        <v>95.23809523809524</v>
      </c>
    </row>
    <row r="38" spans="1:14" ht="15.75">
      <c r="A38">
        <v>40</v>
      </c>
      <c r="B38">
        <f t="shared" si="0"/>
        <v>11.6</v>
      </c>
      <c r="C38" s="80">
        <f t="shared" si="5"/>
        <v>92.06349206349206</v>
      </c>
      <c r="D38" s="80">
        <f t="shared" si="6"/>
        <v>97.5609756097561</v>
      </c>
      <c r="F38">
        <f t="shared" si="7"/>
        <v>40</v>
      </c>
      <c r="G38">
        <f t="shared" si="1"/>
        <v>9.2</v>
      </c>
      <c r="H38" s="80">
        <f t="shared" si="2"/>
        <v>90.19607843137254</v>
      </c>
      <c r="I38" s="80">
        <f t="shared" si="3"/>
        <v>97.5609756097561</v>
      </c>
      <c r="K38">
        <f t="shared" si="8"/>
        <v>40</v>
      </c>
      <c r="L38">
        <f t="shared" si="4"/>
        <v>14</v>
      </c>
      <c r="M38" s="80">
        <f t="shared" si="9"/>
        <v>93.33333333333333</v>
      </c>
      <c r="N38" s="80">
        <f t="shared" si="10"/>
        <v>97.5609756097561</v>
      </c>
    </row>
    <row r="39" spans="1:14" ht="15.75">
      <c r="A39">
        <v>80</v>
      </c>
      <c r="B39">
        <f t="shared" si="0"/>
        <v>23.2</v>
      </c>
      <c r="C39" s="80">
        <f t="shared" si="5"/>
        <v>95.86776859504133</v>
      </c>
      <c r="D39" s="80">
        <f t="shared" si="6"/>
        <v>98.76543209876543</v>
      </c>
      <c r="F39">
        <f t="shared" si="7"/>
        <v>80</v>
      </c>
      <c r="G39">
        <f t="shared" si="1"/>
        <v>18.4</v>
      </c>
      <c r="H39" s="80">
        <f t="shared" si="2"/>
        <v>94.84536082474226</v>
      </c>
      <c r="I39" s="80">
        <f t="shared" si="3"/>
        <v>98.76543209876543</v>
      </c>
      <c r="K39">
        <f t="shared" si="8"/>
        <v>80</v>
      </c>
      <c r="L39">
        <f t="shared" si="4"/>
        <v>28</v>
      </c>
      <c r="M39" s="80">
        <f t="shared" si="9"/>
        <v>96.55172413793103</v>
      </c>
      <c r="N39" s="80">
        <f t="shared" si="10"/>
        <v>98.76543209876543</v>
      </c>
    </row>
    <row r="40" spans="1:14" ht="15.75">
      <c r="A40">
        <v>200</v>
      </c>
      <c r="B40">
        <f t="shared" si="0"/>
        <v>57.99999999999999</v>
      </c>
      <c r="C40" s="80">
        <f t="shared" si="5"/>
        <v>98.30508474576271</v>
      </c>
      <c r="D40" s="80">
        <f t="shared" si="6"/>
        <v>99.50248756218906</v>
      </c>
      <c r="F40">
        <f t="shared" si="7"/>
        <v>200</v>
      </c>
      <c r="G40">
        <f t="shared" si="1"/>
        <v>46</v>
      </c>
      <c r="H40" s="80">
        <f t="shared" si="2"/>
        <v>97.87234042553192</v>
      </c>
      <c r="I40" s="80">
        <f t="shared" si="3"/>
        <v>99.50248756218906</v>
      </c>
      <c r="K40">
        <f t="shared" si="8"/>
        <v>200</v>
      </c>
      <c r="L40">
        <f t="shared" si="4"/>
        <v>70</v>
      </c>
      <c r="M40" s="80">
        <f t="shared" si="9"/>
        <v>98.59154929577464</v>
      </c>
      <c r="N40" s="80">
        <f t="shared" si="10"/>
        <v>99.50248756218906</v>
      </c>
    </row>
    <row r="41" spans="1:14" ht="15.75">
      <c r="A41">
        <v>1000</v>
      </c>
      <c r="B41">
        <f t="shared" si="0"/>
        <v>290</v>
      </c>
      <c r="C41" s="80">
        <f t="shared" si="5"/>
        <v>99.65635738831615</v>
      </c>
      <c r="D41" s="80">
        <f t="shared" si="6"/>
        <v>99.9000999000999</v>
      </c>
      <c r="F41">
        <f t="shared" si="7"/>
        <v>1000</v>
      </c>
      <c r="G41">
        <f t="shared" si="1"/>
        <v>229.99999999999997</v>
      </c>
      <c r="H41" s="80">
        <f>100*G41/(G41+1)</f>
        <v>99.56709956709956</v>
      </c>
      <c r="I41" s="80">
        <f t="shared" si="3"/>
        <v>99.9000999000999</v>
      </c>
      <c r="K41">
        <f t="shared" si="8"/>
        <v>1000</v>
      </c>
      <c r="L41">
        <f t="shared" si="4"/>
        <v>350</v>
      </c>
      <c r="M41" s="80">
        <f t="shared" si="9"/>
        <v>99.71509971509971</v>
      </c>
      <c r="N41" s="80">
        <f t="shared" si="10"/>
        <v>99.9000999000999</v>
      </c>
    </row>
    <row r="141" spans="1:72" s="83" customFormat="1" ht="12.75">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row>
    <row r="150" spans="1:72" s="83" customFormat="1" ht="12.75">
      <c r="A150"/>
      <c r="B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row>
    <row r="158" spans="1:72" s="83" customFormat="1" ht="12.75">
      <c r="A158"/>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row>
    <row r="162" spans="1:72" s="83" customFormat="1" ht="12.75">
      <c r="A162"/>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CSUF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Keith Putirka</dc:creator>
  <cp:keywords/>
  <dc:description/>
  <cp:lastModifiedBy>Keith Putirka</cp:lastModifiedBy>
  <dcterms:created xsi:type="dcterms:W3CDTF">2008-10-11T15:41:57Z</dcterms:created>
  <dcterms:modified xsi:type="dcterms:W3CDTF">2008-12-02T17:31:13Z</dcterms:modified>
  <cp:category/>
  <cp:version/>
  <cp:contentType/>
  <cp:contentStatus/>
</cp:coreProperties>
</file>