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80" yWindow="440" windowWidth="17320" windowHeight="11900" activeTab="0"/>
  </bookViews>
  <sheets>
    <sheet name="Recovered_Sheet1" sheetId="1" r:id="rId1"/>
  </sheets>
  <definedNames>
    <definedName name="_xlnm.Print_Area" localSheetId="0">'Recovered_Sheet1'!$A$1:$N$131</definedName>
  </definedNames>
  <calcPr fullCalcOnLoad="1"/>
</workbook>
</file>

<file path=xl/sharedStrings.xml><?xml version="1.0" encoding="utf-8"?>
<sst xmlns="http://schemas.openxmlformats.org/spreadsheetml/2006/main" count="254" uniqueCount="162">
  <si>
    <t>Formula per 23 Oxygens (all Fe as FeO)</t>
  </si>
  <si>
    <t>Atom prop</t>
  </si>
  <si>
    <t>f2</t>
  </si>
  <si>
    <t>f3</t>
  </si>
  <si>
    <t>f4</t>
  </si>
  <si>
    <t>f5</t>
  </si>
  <si>
    <t>f6</t>
  </si>
  <si>
    <t>f7</t>
  </si>
  <si>
    <t>f8</t>
  </si>
  <si>
    <t>f9</t>
  </si>
  <si>
    <t>f10</t>
  </si>
  <si>
    <t>smallest f1-5</t>
  </si>
  <si>
    <t>largest f6-10</t>
  </si>
  <si>
    <t xml:space="preserve">av f </t>
  </si>
  <si>
    <t>Plagioclase-Hornblende Thermobarometry (temperature by Holland and Blundy, 1994; Blundy and Holland, 1990;</t>
  </si>
  <si>
    <t xml:space="preserve">              at pressure by Schmidt, 1992 and Anderson and Smith, 1995)</t>
  </si>
  <si>
    <t>Spreadsheet prepared by Lawford Anderson, University of Southern California (anderson@usc.edu)</t>
  </si>
  <si>
    <t xml:space="preserve">References: </t>
  </si>
  <si>
    <t>Anderson, J. L. 1996. Status of thermobarometry in granitic batholiths: Transactions of the Royal Society of Edinburgh, v. 87, 125-138. [also published in GSA Special Paper 315]</t>
  </si>
  <si>
    <t>cm</t>
  </si>
  <si>
    <t>XSi,T1</t>
  </si>
  <si>
    <t>XAl,T1</t>
  </si>
  <si>
    <t>XAl,M2</t>
  </si>
  <si>
    <t>Xvac,A</t>
  </si>
  <si>
    <t>XNa,A</t>
  </si>
  <si>
    <t>XNa,M4</t>
  </si>
  <si>
    <t>XCa,M4</t>
  </si>
  <si>
    <t>XK,A</t>
  </si>
  <si>
    <t>Ked-tr</t>
  </si>
  <si>
    <t>Thermometry based on arbitrary pressure (user may input arbitary pressures in Kb))</t>
  </si>
  <si>
    <t>P kb (var input)</t>
  </si>
  <si>
    <t>T (C) HB1 '94</t>
  </si>
  <si>
    <t>T (C) HB2 '94</t>
  </si>
  <si>
    <t>T (C) BH '90</t>
  </si>
  <si>
    <t>Results based on Schmidt pressure (used for purposes of calculation)</t>
  </si>
  <si>
    <t>Pschmidt (kb)</t>
  </si>
  <si>
    <t>Preferred values,</t>
  </si>
  <si>
    <t xml:space="preserve"> see Anderson (1996)</t>
  </si>
  <si>
    <t>**********************************************************************************************************************************</t>
  </si>
  <si>
    <t>Data below used for iterative calculations</t>
  </si>
  <si>
    <t>Blundy, J. D. &amp; Holland, T. J. B. 1990. Calcic amphibole equilibria and a new amphibole-plagioclase geothermometer. CONTRIB MINERAL  PETROL 104, 208-24.</t>
  </si>
  <si>
    <t>Holland, T. &amp;  Blundy, J. 1994. Non-ideal interactions in calcic amphiboles and their bearing on amphibole-plagioclase thermometry. CONTRIB MINERAL PETROL 116, 433-47.</t>
  </si>
  <si>
    <t>Extend cell formatting as needed, and re-save</t>
  </si>
  <si>
    <t xml:space="preserve">Final P-T Solution - see section below "Results based on iteration using Anderson and Smith pressure at various thermometers"; Note preferred calibration as explained in Anderson (1996). </t>
  </si>
  <si>
    <t>g1.c</t>
  </si>
  <si>
    <t>XAb</t>
  </si>
  <si>
    <t>X An</t>
  </si>
  <si>
    <t>Do not add data below this row (except where indicated)</t>
  </si>
  <si>
    <t>Fe2O3,calc</t>
  </si>
  <si>
    <t>FeO,calc</t>
  </si>
  <si>
    <t>H2O,calc</t>
  </si>
  <si>
    <t>O=F, Cl</t>
  </si>
  <si>
    <t>SUM</t>
  </si>
  <si>
    <t xml:space="preserve">      Fe3/Fe* = </t>
  </si>
  <si>
    <t>Formula per Holland and Blundy, 1994</t>
  </si>
  <si>
    <t>T-sites</t>
  </si>
  <si>
    <t>Si</t>
  </si>
  <si>
    <t>Aliv</t>
  </si>
  <si>
    <t>Al(total)</t>
  </si>
  <si>
    <t>M1,2,3 sites</t>
  </si>
  <si>
    <t>Alvi</t>
  </si>
  <si>
    <t>Ti</t>
  </si>
  <si>
    <t>Fe3+</t>
  </si>
  <si>
    <t>Mg</t>
  </si>
  <si>
    <t>Mn</t>
  </si>
  <si>
    <t>Fe2+</t>
  </si>
  <si>
    <t>Ca</t>
  </si>
  <si>
    <t>M4 site</t>
  </si>
  <si>
    <t>Fe</t>
  </si>
  <si>
    <t>Na</t>
  </si>
  <si>
    <t>A site</t>
  </si>
  <si>
    <t>K</t>
  </si>
  <si>
    <t>Sum A</t>
  </si>
  <si>
    <t>OH site</t>
  </si>
  <si>
    <t>O</t>
  </si>
  <si>
    <t>OH</t>
  </si>
  <si>
    <t>Sum cations</t>
  </si>
  <si>
    <t>Cation CHG</t>
  </si>
  <si>
    <t>Add data for elements</t>
  </si>
  <si>
    <t>Catalina granite, Santa Catalina Mtns., Arizona</t>
  </si>
  <si>
    <t>Texture</t>
  </si>
  <si>
    <t>rim</t>
  </si>
  <si>
    <t>Sample</t>
  </si>
  <si>
    <t>sc86-15</t>
  </si>
  <si>
    <t>sc86-16</t>
  </si>
  <si>
    <t>sc86-17</t>
  </si>
  <si>
    <t>Specimen</t>
  </si>
  <si>
    <t>b1</t>
  </si>
  <si>
    <t>c1</t>
  </si>
  <si>
    <t>e1</t>
  </si>
  <si>
    <t>f1</t>
  </si>
  <si>
    <t>g1</t>
  </si>
  <si>
    <t>l1</t>
  </si>
  <si>
    <t>l1a</t>
  </si>
  <si>
    <t>l1b</t>
  </si>
  <si>
    <t>h1</t>
  </si>
  <si>
    <t>o1.1</t>
  </si>
  <si>
    <t>o1.2</t>
  </si>
  <si>
    <t>i1</t>
  </si>
  <si>
    <t>SiO2</t>
  </si>
  <si>
    <t>TiO2</t>
  </si>
  <si>
    <t>Al2O3</t>
  </si>
  <si>
    <t>FeO*</t>
  </si>
  <si>
    <t>MgO</t>
  </si>
  <si>
    <t>MnO</t>
  </si>
  <si>
    <t>CaO</t>
  </si>
  <si>
    <t>Na2O</t>
  </si>
  <si>
    <t>K2O</t>
  </si>
  <si>
    <t>F</t>
  </si>
  <si>
    <t>Cl</t>
  </si>
  <si>
    <t>Sum</t>
  </si>
  <si>
    <t>Add data for Plagioclase</t>
  </si>
  <si>
    <t>Plag</t>
  </si>
  <si>
    <t>h1.1</t>
  </si>
  <si>
    <t>h1.2</t>
  </si>
  <si>
    <t>h1.3</t>
  </si>
  <si>
    <t>I1rim</t>
  </si>
  <si>
    <t>i1c</t>
  </si>
  <si>
    <t>i1b</t>
  </si>
  <si>
    <t>c1-d</t>
  </si>
  <si>
    <t>c1rim</t>
  </si>
  <si>
    <t>c1-c</t>
  </si>
  <si>
    <t>c 1-b</t>
  </si>
  <si>
    <t>g1.b</t>
  </si>
  <si>
    <t>k1.b</t>
  </si>
  <si>
    <t xml:space="preserve">To use this spreadsheet, simply paste in amphibole (wt. % elements, excluding Sum) and plagioclase (mole fraction) analyses in the examples shown below and use the "Save As" option to protect the original.  Cells below the data section are not protected and modification could currupt calculations. </t>
  </si>
  <si>
    <t>Iteration 7</t>
  </si>
  <si>
    <t>T (C) HB1*</t>
  </si>
  <si>
    <t xml:space="preserve">    P(Kb) HB1*</t>
  </si>
  <si>
    <t>Fe#</t>
  </si>
  <si>
    <t>Mg/Fe2+</t>
  </si>
  <si>
    <t>Mg/Fe</t>
  </si>
  <si>
    <t>XMg</t>
  </si>
  <si>
    <t>XOH</t>
  </si>
  <si>
    <t>HB 1 refers to Holland and Blundy Hbld-Plag thermometry calibration reaction edenite + 4 quartz = tremolite + albite</t>
  </si>
  <si>
    <t>HB 2 refers to Holland and Blundy Hbld-Plag thermometry calibration reaction edenite + albite = richterite + anorthite</t>
  </si>
  <si>
    <t>BH refers to Blundy and Holland Hbld-Plag thermometry calibration reaction edenite + 4 quartz = tremolite + albite</t>
  </si>
  <si>
    <t>Temperature based on Ti (Otten, 1984) - warning: semi empirical; best used to determine magmatic versus secondary compositions</t>
  </si>
  <si>
    <t>T (C) Ti-hbld</t>
  </si>
  <si>
    <t>Iterations for Anderson and Smith/Holland and Blundy</t>
  </si>
  <si>
    <t>Iteration 1 (using T at Schmidt P)</t>
  </si>
  <si>
    <t>Pas HB1</t>
  </si>
  <si>
    <t>Pas HB2</t>
  </si>
  <si>
    <t>Pas BH</t>
  </si>
  <si>
    <t>Iteration 2 (using prior P for new T and P)</t>
  </si>
  <si>
    <t>T (C) HB1</t>
  </si>
  <si>
    <t xml:space="preserve">    P(Kb) HB1 </t>
  </si>
  <si>
    <t>T (C) HB2</t>
  </si>
  <si>
    <t xml:space="preserve">   P(Kb) HB2</t>
  </si>
  <si>
    <t>T (C) BH</t>
  </si>
  <si>
    <t xml:space="preserve">   P(Kb) BH</t>
  </si>
  <si>
    <t>Iteration 3</t>
  </si>
  <si>
    <t>Iteration 4</t>
  </si>
  <si>
    <t>Iteration 5</t>
  </si>
  <si>
    <t>Iteration 6</t>
  </si>
  <si>
    <t>Results based on iteration using Anderson and Smith pressure at various thermometers (note: jla prefers HB2 results)</t>
  </si>
  <si>
    <t>*</t>
  </si>
  <si>
    <t>Johnson, M. C. &amp; Rutherford, M. J. 1989. Experimental calibration of an aluminum-in-hornblende geobarometer with application to Long Valley caldera (California) volcanic rocks. GEOL 17, 837-841.</t>
  </si>
  <si>
    <t xml:space="preserve">Otten, M. T. 1984. The origin of brown hornblende in the Artfjallet gabbro and dolerites. CONTRIB MINERAL PETROL  86, 189-99. </t>
  </si>
  <si>
    <t>Schmidt, M. W. 1992. Amphibole composition in tonalite as a function of pressure: an experimental calibration of the Al-in-hornblende barometer. CONTRIB MINERAL PETROL 110, 304-10.</t>
  </si>
  <si>
    <t xml:space="preserve">Schmidt, M. W. 1993. Phase relations and compositions in tonalite as a function of pressure: an experimental study at 650 °C. AMER J SCIENCE 293, 1011-60. </t>
  </si>
  <si>
    <t>Anderson, J. L. &amp; Smith, D. R. 1995. The effect of temperature and oxygen fugacity on Al-in-hornblende barometry. AM MINERAL 80, 549-59.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</si>
</sst>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000"/>
    <numFmt numFmtId="172" formatCode="0.0"/>
    <numFmt numFmtId="173" formatCode="General"/>
  </numFmts>
  <fonts count="27">
    <font>
      <sz val="10"/>
      <name val="Geneva"/>
      <family val="0"/>
    </font>
    <font>
      <b/>
      <sz val="10"/>
      <name val="Geneva"/>
      <family val="0"/>
    </font>
    <font>
      <i/>
      <sz val="10"/>
      <name val="Geneva"/>
      <family val="0"/>
    </font>
    <font>
      <b/>
      <i/>
      <sz val="10"/>
      <name val="Geneva"/>
      <family val="0"/>
    </font>
    <font>
      <u val="single"/>
      <sz val="10"/>
      <name val="Geneva"/>
      <family val="0"/>
    </font>
    <font>
      <b/>
      <u val="single"/>
      <sz val="10"/>
      <name val="Geneva"/>
      <family val="0"/>
    </font>
    <font>
      <u val="single"/>
      <sz val="9"/>
      <name val="Geneva"/>
      <family val="0"/>
    </font>
    <font>
      <u val="single"/>
      <sz val="10"/>
      <color indexed="12"/>
      <name val="Geneva"/>
      <family val="0"/>
    </font>
    <font>
      <u val="single"/>
      <sz val="10"/>
      <color indexed="61"/>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0" fillId="15"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72">
    <xf numFmtId="0" fontId="0" fillId="0" borderId="0" xfId="0" applyAlignment="1">
      <alignment/>
    </xf>
    <xf numFmtId="2" fontId="0" fillId="0" borderId="0" xfId="0" applyNumberFormat="1" applyAlignment="1">
      <alignment/>
    </xf>
    <xf numFmtId="1" fontId="0" fillId="0" borderId="0" xfId="0" applyNumberFormat="1" applyAlignment="1">
      <alignment/>
    </xf>
    <xf numFmtId="170" fontId="0" fillId="0" borderId="0" xfId="0" applyNumberFormat="1" applyAlignment="1">
      <alignment/>
    </xf>
    <xf numFmtId="1" fontId="4" fillId="0" borderId="0" xfId="0" applyNumberFormat="1" applyFont="1" applyAlignment="1">
      <alignment/>
    </xf>
    <xf numFmtId="170" fontId="4" fillId="0" borderId="0" xfId="0" applyNumberFormat="1" applyFont="1" applyAlignment="1">
      <alignment/>
    </xf>
    <xf numFmtId="2" fontId="4" fillId="0" borderId="0" xfId="0" applyNumberFormat="1" applyFont="1" applyAlignment="1">
      <alignment/>
    </xf>
    <xf numFmtId="0" fontId="4" fillId="0" borderId="0" xfId="0" applyFont="1" applyAlignment="1">
      <alignment horizontal="center"/>
    </xf>
    <xf numFmtId="170" fontId="1" fillId="0" borderId="0" xfId="0" applyNumberFormat="1" applyFont="1" applyAlignment="1">
      <alignment/>
    </xf>
    <xf numFmtId="170" fontId="0" fillId="0" borderId="0" xfId="0" applyNumberFormat="1" applyFont="1" applyAlignment="1">
      <alignment/>
    </xf>
    <xf numFmtId="0" fontId="4" fillId="0" borderId="0" xfId="0" applyFont="1" applyAlignment="1">
      <alignment/>
    </xf>
    <xf numFmtId="170" fontId="1" fillId="0" borderId="0" xfId="0" applyNumberFormat="1" applyFont="1" applyFill="1" applyBorder="1" applyAlignment="1">
      <alignment/>
    </xf>
    <xf numFmtId="170" fontId="0" fillId="0" borderId="0" xfId="0" applyNumberFormat="1" applyFill="1" applyBorder="1" applyAlignment="1">
      <alignment/>
    </xf>
    <xf numFmtId="170" fontId="1" fillId="0" borderId="0" xfId="0" applyNumberFormat="1" applyFont="1" applyAlignment="1">
      <alignment horizontal="center"/>
    </xf>
    <xf numFmtId="0" fontId="0" fillId="0" borderId="0" xfId="0" applyBorder="1" applyAlignment="1">
      <alignment/>
    </xf>
    <xf numFmtId="0" fontId="5" fillId="0" borderId="0" xfId="0" applyFont="1" applyAlignment="1">
      <alignment/>
    </xf>
    <xf numFmtId="0" fontId="0" fillId="0" borderId="0" xfId="0" applyAlignment="1">
      <alignment horizontal="right"/>
    </xf>
    <xf numFmtId="0" fontId="4" fillId="0" borderId="0" xfId="0" applyFont="1" applyAlignment="1">
      <alignment horizontal="right"/>
    </xf>
    <xf numFmtId="170" fontId="1" fillId="0" borderId="0" xfId="0" applyNumberFormat="1" applyFont="1" applyFill="1" applyBorder="1" applyAlignment="1">
      <alignment horizontal="left"/>
    </xf>
    <xf numFmtId="170" fontId="1" fillId="0" borderId="0" xfId="0" applyNumberFormat="1" applyFont="1" applyBorder="1" applyAlignment="1">
      <alignment/>
    </xf>
    <xf numFmtId="170" fontId="1" fillId="0" borderId="0" xfId="0" applyNumberFormat="1" applyFont="1" applyBorder="1" applyAlignment="1">
      <alignment horizontal="center"/>
    </xf>
    <xf numFmtId="170" fontId="5" fillId="0" borderId="0" xfId="0" applyNumberFormat="1" applyFont="1" applyAlignment="1">
      <alignment/>
    </xf>
    <xf numFmtId="170" fontId="0" fillId="0" borderId="0" xfId="0" applyNumberFormat="1" applyFont="1" applyBorder="1" applyAlignment="1">
      <alignment/>
    </xf>
    <xf numFmtId="0" fontId="0" fillId="0" borderId="0" xfId="0" applyAlignment="1">
      <alignment horizontal="center"/>
    </xf>
    <xf numFmtId="0" fontId="0" fillId="0" borderId="0" xfId="0" applyBorder="1" applyAlignment="1">
      <alignment horizontal="center"/>
    </xf>
    <xf numFmtId="170" fontId="5" fillId="0" borderId="0" xfId="0" applyNumberFormat="1" applyFont="1" applyFill="1" applyBorder="1" applyAlignment="1">
      <alignment horizontal="left"/>
    </xf>
    <xf numFmtId="170" fontId="0" fillId="0" borderId="0" xfId="0" applyNumberFormat="1" applyBorder="1" applyAlignment="1">
      <alignment/>
    </xf>
    <xf numFmtId="2"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Border="1" applyAlignment="1">
      <alignment/>
    </xf>
    <xf numFmtId="172" fontId="0" fillId="0" borderId="0" xfId="0" applyNumberFormat="1" applyBorder="1" applyAlignment="1">
      <alignment horizontal="right"/>
    </xf>
    <xf numFmtId="172" fontId="0" fillId="0" borderId="0" xfId="0" applyNumberFormat="1" applyBorder="1" applyAlignment="1">
      <alignment/>
    </xf>
    <xf numFmtId="2" fontId="0" fillId="0" borderId="0" xfId="0" applyNumberFormat="1" applyBorder="1" applyAlignment="1">
      <alignment/>
    </xf>
    <xf numFmtId="172" fontId="1" fillId="0" borderId="0" xfId="0" applyNumberFormat="1" applyFont="1" applyBorder="1" applyAlignment="1">
      <alignment/>
    </xf>
    <xf numFmtId="170" fontId="1" fillId="0" borderId="0" xfId="0" applyNumberFormat="1" applyFont="1" applyAlignment="1">
      <alignment horizontal="center"/>
    </xf>
    <xf numFmtId="2" fontId="1" fillId="0" borderId="0" xfId="0" applyNumberFormat="1" applyFont="1" applyBorder="1" applyAlignment="1">
      <alignment/>
    </xf>
    <xf numFmtId="170" fontId="0" fillId="0" borderId="0" xfId="0" applyNumberFormat="1" applyBorder="1" applyAlignment="1">
      <alignment horizontal="right"/>
    </xf>
    <xf numFmtId="2" fontId="0" fillId="0" borderId="0" xfId="0" applyNumberFormat="1" applyBorder="1" applyAlignment="1">
      <alignment horizontal="right"/>
    </xf>
    <xf numFmtId="2" fontId="4" fillId="0" borderId="0" xfId="0" applyNumberFormat="1" applyFont="1" applyBorder="1" applyAlignment="1">
      <alignment/>
    </xf>
    <xf numFmtId="2" fontId="4" fillId="0" borderId="0" xfId="0" applyNumberFormat="1" applyFont="1" applyBorder="1" applyAlignment="1">
      <alignment horizontal="center"/>
    </xf>
    <xf numFmtId="0" fontId="6" fillId="0" borderId="0" xfId="0" applyFont="1" applyBorder="1" applyAlignment="1">
      <alignment horizontal="right"/>
    </xf>
    <xf numFmtId="172" fontId="0" fillId="0" borderId="0" xfId="0" applyNumberFormat="1" applyBorder="1" applyAlignment="1">
      <alignment horizontal="center"/>
    </xf>
    <xf numFmtId="0" fontId="1" fillId="0" borderId="0" xfId="0" applyFont="1" applyAlignment="1">
      <alignment/>
    </xf>
    <xf numFmtId="2" fontId="0" fillId="0" borderId="0" xfId="0" applyNumberFormat="1" applyFont="1" applyAlignment="1">
      <alignment/>
    </xf>
    <xf numFmtId="0" fontId="0" fillId="0" borderId="0" xfId="0" applyFont="1" applyAlignment="1">
      <alignment/>
    </xf>
    <xf numFmtId="172" fontId="0" fillId="0" borderId="0" xfId="0" applyNumberFormat="1" applyFont="1" applyBorder="1" applyAlignment="1">
      <alignment horizontal="right"/>
    </xf>
    <xf numFmtId="2" fontId="0" fillId="0" borderId="10" xfId="0" applyNumberFormat="1" applyFont="1" applyBorder="1" applyAlignment="1">
      <alignment/>
    </xf>
    <xf numFmtId="170" fontId="0" fillId="0" borderId="10" xfId="0" applyNumberFormat="1" applyFont="1" applyBorder="1" applyAlignment="1">
      <alignment/>
    </xf>
    <xf numFmtId="2" fontId="1" fillId="0" borderId="10" xfId="0" applyNumberFormat="1" applyFont="1" applyBorder="1" applyAlignment="1">
      <alignment/>
    </xf>
    <xf numFmtId="170" fontId="1" fillId="0" borderId="10" xfId="0" applyNumberFormat="1" applyFont="1" applyBorder="1" applyAlignment="1">
      <alignment/>
    </xf>
    <xf numFmtId="0" fontId="0" fillId="0" borderId="11" xfId="0" applyBorder="1" applyAlignment="1">
      <alignment/>
    </xf>
    <xf numFmtId="172" fontId="0" fillId="0" borderId="12" xfId="0" applyNumberFormat="1" applyFont="1" applyBorder="1" applyAlignment="1">
      <alignment/>
    </xf>
    <xf numFmtId="2" fontId="0" fillId="0" borderId="13" xfId="0" applyNumberFormat="1" applyFont="1" applyBorder="1" applyAlignment="1">
      <alignment/>
    </xf>
    <xf numFmtId="172" fontId="1" fillId="0" borderId="12" xfId="0" applyNumberFormat="1" applyFont="1" applyBorder="1" applyAlignment="1">
      <alignment/>
    </xf>
    <xf numFmtId="2" fontId="1" fillId="0" borderId="13" xfId="0" applyNumberFormat="1" applyFont="1" applyBorder="1" applyAlignment="1">
      <alignment/>
    </xf>
    <xf numFmtId="2" fontId="0" fillId="0" borderId="0" xfId="0" applyNumberFormat="1" applyAlignment="1">
      <alignment horizontal="right"/>
    </xf>
    <xf numFmtId="0" fontId="5" fillId="0" borderId="14" xfId="0" applyFont="1" applyBorder="1" applyAlignment="1">
      <alignment/>
    </xf>
    <xf numFmtId="0" fontId="0" fillId="0" borderId="0" xfId="0" applyFont="1" applyBorder="1" applyAlignment="1">
      <alignment/>
    </xf>
    <xf numFmtId="2" fontId="4" fillId="0" borderId="0" xfId="0" applyNumberFormat="1" applyFont="1" applyBorder="1" applyAlignment="1">
      <alignment horizontal="left"/>
    </xf>
    <xf numFmtId="170" fontId="4" fillId="0" borderId="0" xfId="0" applyNumberFormat="1" applyFont="1" applyBorder="1" applyAlignment="1">
      <alignment/>
    </xf>
    <xf numFmtId="170" fontId="1" fillId="0" borderId="0" xfId="0" applyNumberFormat="1" applyFont="1" applyBorder="1" applyAlignment="1">
      <alignment horizontal="center"/>
    </xf>
    <xf numFmtId="172" fontId="1" fillId="0" borderId="11" xfId="0" applyNumberFormat="1" applyFont="1" applyBorder="1" applyAlignment="1">
      <alignment/>
    </xf>
    <xf numFmtId="172" fontId="0" fillId="0" borderId="11" xfId="0" applyNumberFormat="1" applyFont="1" applyBorder="1" applyAlignment="1">
      <alignment/>
    </xf>
    <xf numFmtId="170" fontId="0" fillId="0" borderId="11" xfId="0" applyNumberFormat="1" applyBorder="1" applyAlignment="1">
      <alignment/>
    </xf>
    <xf numFmtId="0" fontId="4" fillId="0" borderId="0" xfId="0" applyFont="1" applyBorder="1" applyAlignment="1">
      <alignment horizontal="center"/>
    </xf>
    <xf numFmtId="170" fontId="1" fillId="0" borderId="0" xfId="0" applyNumberFormat="1" applyFont="1" applyBorder="1" applyAlignment="1">
      <alignment/>
    </xf>
    <xf numFmtId="1" fontId="0" fillId="0" borderId="0" xfId="0" applyNumberFormat="1" applyBorder="1" applyAlignment="1">
      <alignment/>
    </xf>
    <xf numFmtId="170" fontId="1" fillId="0" borderId="14" xfId="0" applyNumberFormat="1" applyFont="1" applyBorder="1" applyAlignment="1">
      <alignment/>
    </xf>
    <xf numFmtId="170" fontId="1" fillId="0" borderId="11" xfId="0" applyNumberFormat="1" applyFont="1" applyBorder="1" applyAlignment="1">
      <alignment/>
    </xf>
    <xf numFmtId="170" fontId="1" fillId="0" borderId="15" xfId="0" applyNumberFormat="1" applyFont="1" applyBorder="1" applyAlignment="1">
      <alignment/>
    </xf>
    <xf numFmtId="170" fontId="1" fillId="0" borderId="13" xfId="0" applyNumberFormat="1" applyFont="1" applyBorder="1" applyAlignment="1">
      <alignment/>
    </xf>
    <xf numFmtId="170" fontId="1" fillId="0" borderId="16"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R238"/>
  <sheetViews>
    <sheetView tabSelected="1" zoomScalePageLayoutView="0" workbookViewId="0" topLeftCell="A1">
      <selection activeCell="M3" sqref="M3"/>
    </sheetView>
  </sheetViews>
  <sheetFormatPr defaultColWidth="12.375" defaultRowHeight="12.75"/>
  <cols>
    <col min="1" max="1" width="12.375" style="0" customWidth="1"/>
    <col min="2" max="6" width="6.625" style="0" customWidth="1"/>
    <col min="7" max="7" width="6.625" style="14" customWidth="1"/>
    <col min="8" max="14" width="6.625" style="0" customWidth="1"/>
    <col min="15" max="44" width="6.625" style="14" customWidth="1"/>
    <col min="45" max="220" width="6.625" style="0" customWidth="1"/>
  </cols>
  <sheetData>
    <row r="1" spans="1:6" ht="12.75">
      <c r="A1" s="42" t="s">
        <v>14</v>
      </c>
      <c r="E1" s="14"/>
      <c r="F1" s="14"/>
    </row>
    <row r="2" spans="1:6" ht="12.75">
      <c r="A2" s="42" t="s">
        <v>15</v>
      </c>
      <c r="E2" s="14"/>
      <c r="F2" s="14"/>
    </row>
    <row r="3" spans="5:6" ht="12.75">
      <c r="E3" s="14"/>
      <c r="F3" s="14"/>
    </row>
    <row r="4" spans="1:6" ht="12.75">
      <c r="A4" s="10" t="s">
        <v>16</v>
      </c>
      <c r="E4" s="14"/>
      <c r="F4" s="14"/>
    </row>
    <row r="5" spans="1:6" ht="12.75">
      <c r="A5" t="s">
        <v>17</v>
      </c>
      <c r="B5" t="s">
        <v>18</v>
      </c>
      <c r="E5" s="14"/>
      <c r="F5" s="14"/>
    </row>
    <row r="6" spans="2:6" ht="12.75">
      <c r="B6" t="s">
        <v>161</v>
      </c>
      <c r="E6" s="14"/>
      <c r="F6" s="14"/>
    </row>
    <row r="7" spans="2:6" ht="12.75">
      <c r="B7" t="s">
        <v>40</v>
      </c>
      <c r="E7" s="14"/>
      <c r="F7" s="14"/>
    </row>
    <row r="8" spans="2:6" ht="12.75">
      <c r="B8" t="s">
        <v>41</v>
      </c>
      <c r="E8" s="14"/>
      <c r="F8" s="14"/>
    </row>
    <row r="9" spans="2:6" ht="12.75">
      <c r="B9" t="s">
        <v>157</v>
      </c>
      <c r="E9" s="14"/>
      <c r="F9" s="14"/>
    </row>
    <row r="10" spans="2:6" ht="12.75">
      <c r="B10" t="s">
        <v>158</v>
      </c>
      <c r="E10" s="14"/>
      <c r="F10" s="14"/>
    </row>
    <row r="11" spans="2:6" ht="12.75">
      <c r="B11" t="s">
        <v>159</v>
      </c>
      <c r="E11" s="14"/>
      <c r="F11" s="14"/>
    </row>
    <row r="12" spans="2:6" ht="12.75">
      <c r="B12" t="s">
        <v>160</v>
      </c>
      <c r="E12" s="14"/>
      <c r="F12" s="14"/>
    </row>
    <row r="13" spans="5:6" ht="12.75">
      <c r="E13" s="14"/>
      <c r="F13" s="14"/>
    </row>
    <row r="14" spans="1:6" ht="12.75">
      <c r="A14" t="s">
        <v>125</v>
      </c>
      <c r="E14" s="14"/>
      <c r="F14" s="14"/>
    </row>
    <row r="15" spans="2:6" ht="12.75">
      <c r="B15" t="s">
        <v>42</v>
      </c>
      <c r="E15" s="14"/>
      <c r="F15" s="14"/>
    </row>
    <row r="16" spans="1:6" ht="12.75">
      <c r="A16" s="14"/>
      <c r="B16" s="57" t="s">
        <v>43</v>
      </c>
      <c r="E16" s="14"/>
      <c r="F16" s="14"/>
    </row>
    <row r="17" spans="1:6" ht="12.75">
      <c r="A17" s="14"/>
      <c r="B17" s="57"/>
      <c r="E17" s="14"/>
      <c r="F17" s="14"/>
    </row>
    <row r="18" spans="1:6" ht="12.75">
      <c r="A18" s="15" t="s">
        <v>78</v>
      </c>
      <c r="E18" s="14"/>
      <c r="F18" s="42" t="s">
        <v>79</v>
      </c>
    </row>
    <row r="19" spans="1:14" ht="12.75">
      <c r="A19" s="16" t="s">
        <v>80</v>
      </c>
      <c r="B19" s="39" t="s">
        <v>81</v>
      </c>
      <c r="C19" s="39" t="s">
        <v>81</v>
      </c>
      <c r="D19" s="39" t="s">
        <v>81</v>
      </c>
      <c r="E19" s="39" t="s">
        <v>81</v>
      </c>
      <c r="F19" s="39" t="s">
        <v>81</v>
      </c>
      <c r="G19" s="39" t="s">
        <v>81</v>
      </c>
      <c r="H19" s="39" t="s">
        <v>81</v>
      </c>
      <c r="I19" s="39" t="s">
        <v>81</v>
      </c>
      <c r="J19" s="39" t="s">
        <v>81</v>
      </c>
      <c r="K19" s="39" t="s">
        <v>81</v>
      </c>
      <c r="L19" s="39" t="s">
        <v>81</v>
      </c>
      <c r="M19" s="39" t="s">
        <v>81</v>
      </c>
      <c r="N19" s="39" t="s">
        <v>81</v>
      </c>
    </row>
    <row r="20" spans="1:44" s="7" customFormat="1" ht="12.75">
      <c r="A20" s="7" t="s">
        <v>82</v>
      </c>
      <c r="B20" s="40" t="s">
        <v>83</v>
      </c>
      <c r="C20" s="40" t="s">
        <v>83</v>
      </c>
      <c r="D20" s="40" t="s">
        <v>83</v>
      </c>
      <c r="E20" s="40" t="s">
        <v>83</v>
      </c>
      <c r="F20" s="40" t="s">
        <v>83</v>
      </c>
      <c r="G20" s="40" t="s">
        <v>83</v>
      </c>
      <c r="H20" s="40" t="s">
        <v>84</v>
      </c>
      <c r="I20" s="40" t="s">
        <v>84</v>
      </c>
      <c r="J20" s="40" t="s">
        <v>84</v>
      </c>
      <c r="K20" s="40" t="s">
        <v>84</v>
      </c>
      <c r="L20" s="40" t="s">
        <v>85</v>
      </c>
      <c r="M20" s="40" t="s">
        <v>85</v>
      </c>
      <c r="N20" s="40" t="s">
        <v>85</v>
      </c>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row>
    <row r="21" spans="1:14" ht="12.75">
      <c r="A21" s="17" t="s">
        <v>86</v>
      </c>
      <c r="B21" s="41" t="s">
        <v>87</v>
      </c>
      <c r="C21" s="41" t="s">
        <v>88</v>
      </c>
      <c r="D21" s="41" t="s">
        <v>89</v>
      </c>
      <c r="E21" s="41" t="s">
        <v>90</v>
      </c>
      <c r="F21" s="41" t="s">
        <v>91</v>
      </c>
      <c r="G21" s="41" t="s">
        <v>92</v>
      </c>
      <c r="H21" s="41" t="s">
        <v>90</v>
      </c>
      <c r="I21" s="41" t="s">
        <v>93</v>
      </c>
      <c r="J21" s="41" t="s">
        <v>94</v>
      </c>
      <c r="K21" s="41" t="s">
        <v>95</v>
      </c>
      <c r="L21" s="41" t="s">
        <v>96</v>
      </c>
      <c r="M21" s="41" t="s">
        <v>97</v>
      </c>
      <c r="N21" s="41" t="s">
        <v>98</v>
      </c>
    </row>
    <row r="22" spans="1:44" s="1" customFormat="1" ht="12.75">
      <c r="A22" s="1" t="s">
        <v>99</v>
      </c>
      <c r="B22" s="32">
        <v>46.42</v>
      </c>
      <c r="C22" s="32">
        <v>45.82</v>
      </c>
      <c r="D22" s="32">
        <v>46.78</v>
      </c>
      <c r="E22" s="32">
        <v>46.01</v>
      </c>
      <c r="F22" s="32">
        <v>47.27</v>
      </c>
      <c r="G22" s="32">
        <v>48.9</v>
      </c>
      <c r="H22" s="32">
        <v>48.66</v>
      </c>
      <c r="I22" s="32">
        <v>48.59</v>
      </c>
      <c r="J22" s="32">
        <v>49.21</v>
      </c>
      <c r="K22" s="32">
        <v>48.8</v>
      </c>
      <c r="L22" s="32">
        <v>48.88</v>
      </c>
      <c r="M22" s="32">
        <v>47.27</v>
      </c>
      <c r="N22" s="32">
        <v>46.97</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row>
    <row r="23" spans="1:44" s="1" customFormat="1" ht="12.75">
      <c r="A23" s="1" t="s">
        <v>100</v>
      </c>
      <c r="B23" s="32">
        <v>1.27</v>
      </c>
      <c r="C23" s="32">
        <v>1.31</v>
      </c>
      <c r="D23" s="32">
        <v>1.3</v>
      </c>
      <c r="E23" s="32">
        <v>1.27</v>
      </c>
      <c r="F23" s="32">
        <v>1.26</v>
      </c>
      <c r="G23" s="32">
        <v>0.52</v>
      </c>
      <c r="H23" s="32">
        <v>0.64</v>
      </c>
      <c r="I23" s="32">
        <v>0.6</v>
      </c>
      <c r="J23" s="32">
        <v>0.81</v>
      </c>
      <c r="K23" s="32">
        <v>0.58</v>
      </c>
      <c r="L23" s="32">
        <v>0.75</v>
      </c>
      <c r="M23" s="32">
        <v>0.75</v>
      </c>
      <c r="N23" s="32">
        <v>1.29</v>
      </c>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row>
    <row r="24" spans="1:44" s="1" customFormat="1" ht="12.75">
      <c r="A24" s="1" t="s">
        <v>101</v>
      </c>
      <c r="B24" s="32">
        <v>6.81</v>
      </c>
      <c r="C24" s="32">
        <v>6.87</v>
      </c>
      <c r="D24" s="32">
        <v>6.69</v>
      </c>
      <c r="E24" s="32">
        <v>6.45</v>
      </c>
      <c r="F24" s="32">
        <v>6.31</v>
      </c>
      <c r="G24" s="32">
        <v>5.09</v>
      </c>
      <c r="H24" s="32">
        <v>5.84</v>
      </c>
      <c r="I24" s="32">
        <v>5.2</v>
      </c>
      <c r="J24" s="32">
        <v>5.79</v>
      </c>
      <c r="K24" s="32">
        <v>5.32</v>
      </c>
      <c r="L24" s="32">
        <v>5.69</v>
      </c>
      <c r="M24" s="32">
        <v>6.07</v>
      </c>
      <c r="N24" s="32">
        <v>7.14</v>
      </c>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row>
    <row r="25" spans="1:44" s="1" customFormat="1" ht="12.75">
      <c r="A25" s="1" t="s">
        <v>102</v>
      </c>
      <c r="B25" s="32">
        <v>14.21</v>
      </c>
      <c r="C25" s="32">
        <v>14.29</v>
      </c>
      <c r="D25" s="32">
        <v>14.45</v>
      </c>
      <c r="E25" s="32">
        <v>13.94</v>
      </c>
      <c r="F25" s="32">
        <v>14.63</v>
      </c>
      <c r="G25" s="32">
        <v>13.68</v>
      </c>
      <c r="H25" s="32">
        <v>14.31</v>
      </c>
      <c r="I25" s="32">
        <v>13.68</v>
      </c>
      <c r="J25" s="32">
        <v>14.24</v>
      </c>
      <c r="K25" s="32">
        <v>13.48</v>
      </c>
      <c r="L25" s="32">
        <v>14.53</v>
      </c>
      <c r="M25" s="32">
        <v>14.34</v>
      </c>
      <c r="N25" s="32">
        <v>14.76</v>
      </c>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row>
    <row r="26" spans="1:44" s="1" customFormat="1" ht="12.75">
      <c r="A26" s="1" t="s">
        <v>103</v>
      </c>
      <c r="B26" s="32">
        <v>13.67</v>
      </c>
      <c r="C26" s="32">
        <v>13.44</v>
      </c>
      <c r="D26" s="32">
        <v>13.68</v>
      </c>
      <c r="E26" s="32">
        <v>13.27</v>
      </c>
      <c r="F26" s="32">
        <v>13.55</v>
      </c>
      <c r="G26" s="32">
        <v>14.34</v>
      </c>
      <c r="H26" s="32">
        <v>14.39</v>
      </c>
      <c r="I26" s="32">
        <v>14.49</v>
      </c>
      <c r="J26" s="32">
        <v>14.23</v>
      </c>
      <c r="K26" s="32">
        <v>14.61</v>
      </c>
      <c r="L26" s="32">
        <v>14.27</v>
      </c>
      <c r="M26" s="32">
        <v>14.01</v>
      </c>
      <c r="N26" s="32">
        <v>13.54</v>
      </c>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row>
    <row r="27" spans="1:44" s="1" customFormat="1" ht="12.75">
      <c r="A27" s="1" t="s">
        <v>104</v>
      </c>
      <c r="B27" s="32">
        <v>0.76</v>
      </c>
      <c r="C27" s="32">
        <v>0.69</v>
      </c>
      <c r="D27" s="32">
        <v>0.7</v>
      </c>
      <c r="E27" s="32">
        <v>0.75</v>
      </c>
      <c r="F27" s="32">
        <v>0.8</v>
      </c>
      <c r="G27" s="32">
        <v>0.8</v>
      </c>
      <c r="H27" s="32">
        <v>0.89</v>
      </c>
      <c r="I27" s="32">
        <v>0.87</v>
      </c>
      <c r="J27" s="32">
        <v>0.81</v>
      </c>
      <c r="K27" s="32">
        <v>0.85</v>
      </c>
      <c r="L27" s="32">
        <v>0.81</v>
      </c>
      <c r="M27" s="32">
        <v>0.73</v>
      </c>
      <c r="N27" s="32">
        <v>0.693</v>
      </c>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row>
    <row r="28" spans="1:44" s="1" customFormat="1" ht="12.75">
      <c r="A28" s="1" t="s">
        <v>105</v>
      </c>
      <c r="B28" s="32">
        <v>11.59</v>
      </c>
      <c r="C28" s="32">
        <v>11.28</v>
      </c>
      <c r="D28" s="32">
        <v>11.59</v>
      </c>
      <c r="E28" s="32">
        <v>11.3</v>
      </c>
      <c r="F28" s="32">
        <v>11.29</v>
      </c>
      <c r="G28" s="32">
        <v>11.64</v>
      </c>
      <c r="H28" s="32">
        <v>11.66</v>
      </c>
      <c r="I28" s="32">
        <v>11.06</v>
      </c>
      <c r="J28" s="32">
        <v>11.41</v>
      </c>
      <c r="K28" s="32">
        <v>11.64</v>
      </c>
      <c r="L28" s="32">
        <v>12.01</v>
      </c>
      <c r="M28" s="32">
        <v>11.76</v>
      </c>
      <c r="N28" s="32">
        <v>11.88</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row>
    <row r="29" spans="1:44" s="1" customFormat="1" ht="12.75">
      <c r="A29" s="1" t="s">
        <v>106</v>
      </c>
      <c r="B29" s="32">
        <v>1.36</v>
      </c>
      <c r="C29" s="32">
        <v>1.47</v>
      </c>
      <c r="D29" s="32">
        <v>1.47</v>
      </c>
      <c r="E29" s="32">
        <v>1.4</v>
      </c>
      <c r="F29" s="32">
        <v>1.23</v>
      </c>
      <c r="G29" s="32">
        <v>1.24</v>
      </c>
      <c r="H29" s="32">
        <v>1.24</v>
      </c>
      <c r="I29" s="32">
        <v>1.11</v>
      </c>
      <c r="J29" s="32">
        <v>1.29</v>
      </c>
      <c r="K29" s="32">
        <v>1.08</v>
      </c>
      <c r="L29" s="32">
        <v>1.2</v>
      </c>
      <c r="M29" s="32">
        <v>1.34</v>
      </c>
      <c r="N29" s="32">
        <v>1.53</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row>
    <row r="30" spans="1:44" s="1" customFormat="1" ht="12.75">
      <c r="A30" s="1" t="s">
        <v>107</v>
      </c>
      <c r="B30" s="32">
        <v>0.9</v>
      </c>
      <c r="C30" s="32">
        <v>0.93</v>
      </c>
      <c r="D30" s="32">
        <v>0.95</v>
      </c>
      <c r="E30" s="32">
        <v>0.86</v>
      </c>
      <c r="F30" s="32">
        <v>0.7</v>
      </c>
      <c r="G30" s="32">
        <v>0.59</v>
      </c>
      <c r="H30" s="32">
        <v>0.59</v>
      </c>
      <c r="I30" s="32">
        <v>0.56</v>
      </c>
      <c r="J30" s="32">
        <v>0.64</v>
      </c>
      <c r="K30" s="32">
        <v>0.53</v>
      </c>
      <c r="L30" s="32">
        <v>0.68</v>
      </c>
      <c r="M30" s="32">
        <v>0.69</v>
      </c>
      <c r="N30" s="32">
        <v>0.9</v>
      </c>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row>
    <row r="31" spans="1:44" s="1" customFormat="1" ht="12.75">
      <c r="A31" s="1" t="s">
        <v>108</v>
      </c>
      <c r="B31" s="32">
        <v>0</v>
      </c>
      <c r="C31" s="32">
        <v>0</v>
      </c>
      <c r="D31" s="32">
        <v>0</v>
      </c>
      <c r="E31" s="32">
        <v>0</v>
      </c>
      <c r="F31" s="32">
        <v>0</v>
      </c>
      <c r="G31" s="32">
        <v>0</v>
      </c>
      <c r="H31" s="32">
        <v>0</v>
      </c>
      <c r="I31" s="32">
        <v>0</v>
      </c>
      <c r="J31" s="32">
        <v>0</v>
      </c>
      <c r="K31" s="32">
        <v>0</v>
      </c>
      <c r="L31" s="32">
        <v>0</v>
      </c>
      <c r="M31" s="32">
        <v>0</v>
      </c>
      <c r="N31" s="32">
        <v>0</v>
      </c>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row>
    <row r="32" spans="1:44" s="6" customFormat="1" ht="12.75">
      <c r="A32" s="6" t="s">
        <v>109</v>
      </c>
      <c r="B32" s="38">
        <v>0</v>
      </c>
      <c r="C32" s="38">
        <v>0</v>
      </c>
      <c r="D32" s="38">
        <v>0</v>
      </c>
      <c r="E32" s="38">
        <v>0</v>
      </c>
      <c r="F32" s="38">
        <v>0</v>
      </c>
      <c r="G32" s="38">
        <v>0</v>
      </c>
      <c r="H32" s="38">
        <v>0</v>
      </c>
      <c r="I32" s="38">
        <v>0</v>
      </c>
      <c r="J32" s="38">
        <v>0</v>
      </c>
      <c r="K32" s="38">
        <v>0</v>
      </c>
      <c r="L32" s="38">
        <v>0</v>
      </c>
      <c r="M32" s="38">
        <v>0</v>
      </c>
      <c r="N32" s="38">
        <v>0</v>
      </c>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row>
    <row r="33" spans="1:44" s="1" customFormat="1" ht="12.75">
      <c r="A33" s="1" t="s">
        <v>110</v>
      </c>
      <c r="B33" s="1">
        <f>SUM(B22:B32)</f>
        <v>96.99000000000002</v>
      </c>
      <c r="C33" s="1">
        <v>96.1</v>
      </c>
      <c r="D33" s="1">
        <f aca="true" t="shared" si="0" ref="D33:N33">SUM(D22:D32)</f>
        <v>97.61000000000001</v>
      </c>
      <c r="E33" s="1">
        <f t="shared" si="0"/>
        <v>95.25</v>
      </c>
      <c r="F33" s="1">
        <f t="shared" si="0"/>
        <v>97.03999999999999</v>
      </c>
      <c r="G33" s="32">
        <f t="shared" si="0"/>
        <v>96.8</v>
      </c>
      <c r="H33" s="1">
        <f t="shared" si="0"/>
        <v>98.22</v>
      </c>
      <c r="I33" s="1">
        <f t="shared" si="0"/>
        <v>96.16000000000001</v>
      </c>
      <c r="J33" s="1">
        <f t="shared" si="0"/>
        <v>98.43</v>
      </c>
      <c r="K33" s="1">
        <f t="shared" si="0"/>
        <v>96.88999999999999</v>
      </c>
      <c r="L33" s="1">
        <f t="shared" si="0"/>
        <v>98.82000000000001</v>
      </c>
      <c r="M33" s="1">
        <f t="shared" si="0"/>
        <v>96.96000000000002</v>
      </c>
      <c r="N33" s="1">
        <f t="shared" si="0"/>
        <v>98.70299999999999</v>
      </c>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row>
    <row r="34" spans="5:44" s="1" customFormat="1" ht="12.75" customHeight="1">
      <c r="E34" s="32"/>
      <c r="G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row>
    <row r="35" spans="1:44" s="1" customFormat="1" ht="12.75" customHeight="1">
      <c r="A35" s="18"/>
      <c r="B35" s="34"/>
      <c r="C35" s="34"/>
      <c r="D35" s="34"/>
      <c r="E35" s="20"/>
      <c r="G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row>
    <row r="36" spans="1:44" s="1" customFormat="1" ht="12.75" customHeight="1">
      <c r="A36" s="21" t="s">
        <v>111</v>
      </c>
      <c r="B36" s="9"/>
      <c r="C36" s="9"/>
      <c r="D36" s="9"/>
      <c r="E36" s="22"/>
      <c r="G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row>
    <row r="37" spans="1:44" s="1" customFormat="1" ht="12.75" customHeight="1">
      <c r="A37" s="23" t="s">
        <v>112</v>
      </c>
      <c r="B37" s="24" t="s">
        <v>113</v>
      </c>
      <c r="C37" s="24" t="s">
        <v>114</v>
      </c>
      <c r="D37" s="24" t="s">
        <v>115</v>
      </c>
      <c r="E37" s="24" t="s">
        <v>116</v>
      </c>
      <c r="F37" s="24" t="s">
        <v>117</v>
      </c>
      <c r="G37" s="24" t="s">
        <v>118</v>
      </c>
      <c r="H37" s="24" t="s">
        <v>119</v>
      </c>
      <c r="I37" s="24" t="s">
        <v>120</v>
      </c>
      <c r="J37" s="24" t="s">
        <v>121</v>
      </c>
      <c r="K37" s="24" t="s">
        <v>122</v>
      </c>
      <c r="L37" s="24" t="s">
        <v>123</v>
      </c>
      <c r="M37" s="24" t="s">
        <v>124</v>
      </c>
      <c r="N37" s="24" t="s">
        <v>44</v>
      </c>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row>
    <row r="38" spans="1:44" s="1" customFormat="1" ht="12.75" customHeight="1">
      <c r="A38" s="23" t="s">
        <v>45</v>
      </c>
      <c r="B38" s="36">
        <v>0.781</v>
      </c>
      <c r="C38" s="36">
        <v>0.777</v>
      </c>
      <c r="D38" s="36">
        <v>0.738</v>
      </c>
      <c r="E38" s="36">
        <v>0.745</v>
      </c>
      <c r="F38" s="36">
        <v>0.722</v>
      </c>
      <c r="G38" s="36">
        <v>0.731</v>
      </c>
      <c r="H38" s="36">
        <v>0.763</v>
      </c>
      <c r="I38" s="36">
        <v>0.787</v>
      </c>
      <c r="J38" s="36">
        <v>0.722</v>
      </c>
      <c r="K38" s="36">
        <v>0.715</v>
      </c>
      <c r="L38" s="36">
        <v>0.768</v>
      </c>
      <c r="M38" s="36">
        <v>0.748</v>
      </c>
      <c r="N38" s="36">
        <v>0.715</v>
      </c>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1:44" s="1" customFormat="1" ht="12.75" customHeight="1">
      <c r="A39" s="23" t="s">
        <v>46</v>
      </c>
      <c r="B39" s="36">
        <v>0.188</v>
      </c>
      <c r="C39" s="36">
        <v>0.204</v>
      </c>
      <c r="D39" s="36">
        <v>0.233</v>
      </c>
      <c r="E39" s="36">
        <v>0.231</v>
      </c>
      <c r="F39" s="36">
        <v>0.247</v>
      </c>
      <c r="G39" s="36">
        <v>0.23</v>
      </c>
      <c r="H39" s="36">
        <v>0.214</v>
      </c>
      <c r="I39" s="36">
        <v>0.188</v>
      </c>
      <c r="J39" s="36">
        <v>0.252</v>
      </c>
      <c r="K39" s="36">
        <v>0.253</v>
      </c>
      <c r="L39" s="36">
        <v>0.202</v>
      </c>
      <c r="M39" s="36">
        <v>0.219</v>
      </c>
      <c r="N39" s="36">
        <v>0.258</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spans="7:44" s="1" customFormat="1" ht="12.75" customHeight="1">
      <c r="G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row>
    <row r="41" spans="1:44" s="1" customFormat="1" ht="12.75" customHeight="1">
      <c r="A41" s="25" t="s">
        <v>47</v>
      </c>
      <c r="G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row>
    <row r="42" spans="1:44" s="1" customFormat="1" ht="12.75">
      <c r="A42" s="1" t="s">
        <v>48</v>
      </c>
      <c r="B42" s="1">
        <f aca="true" t="shared" si="1" ref="B42:N42">B60*159.7*B189/46/B238</f>
        <v>3.929721213936894</v>
      </c>
      <c r="C42" s="1">
        <f t="shared" si="1"/>
        <v>3.7121281967141853</v>
      </c>
      <c r="D42" s="1">
        <f t="shared" si="1"/>
        <v>3.3159369865599517</v>
      </c>
      <c r="E42" s="1">
        <f t="shared" si="1"/>
        <v>3.5822062943653297</v>
      </c>
      <c r="F42" s="1">
        <f t="shared" si="1"/>
        <v>4.047083284212411</v>
      </c>
      <c r="G42" s="32">
        <f t="shared" si="1"/>
        <v>3.756027612428658</v>
      </c>
      <c r="H42" s="1">
        <f t="shared" si="1"/>
        <v>4.558557803604837</v>
      </c>
      <c r="I42" s="1">
        <f t="shared" si="1"/>
        <v>4.224776485452328</v>
      </c>
      <c r="J42" s="1">
        <f t="shared" si="1"/>
        <v>4.650085759694081</v>
      </c>
      <c r="K42" s="1">
        <f t="shared" si="1"/>
        <v>4.408812647944706</v>
      </c>
      <c r="L42" s="1">
        <f t="shared" si="1"/>
        <v>3.8416152503415004</v>
      </c>
      <c r="M42" s="1">
        <f t="shared" si="1"/>
        <v>3.9782547672698847</v>
      </c>
      <c r="N42" s="1">
        <f t="shared" si="1"/>
        <v>4.13805495854225</v>
      </c>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row>
    <row r="43" spans="1:44" s="1" customFormat="1" ht="12.75">
      <c r="A43" s="1" t="s">
        <v>49</v>
      </c>
      <c r="B43" s="1">
        <f aca="true" t="shared" si="2" ref="B43:N43">(B63+B67)*71.85*B189*2/46/B238</f>
        <v>10.673989114322284</v>
      </c>
      <c r="C43" s="1">
        <f t="shared" si="2"/>
        <v>10.949781954490742</v>
      </c>
      <c r="D43" s="1">
        <f t="shared" si="2"/>
        <v>11.466279618230024</v>
      </c>
      <c r="E43" s="1">
        <f t="shared" si="2"/>
        <v>10.71668726048655</v>
      </c>
      <c r="F43" s="1">
        <f t="shared" si="2"/>
        <v>10.988385297800102</v>
      </c>
      <c r="G43" s="32">
        <f t="shared" si="2"/>
        <v>10.300280726950545</v>
      </c>
      <c r="H43" s="1">
        <f t="shared" si="2"/>
        <v>10.208154311972356</v>
      </c>
      <c r="I43" s="1">
        <f t="shared" si="2"/>
        <v>9.87849479674703</v>
      </c>
      <c r="J43" s="1">
        <f t="shared" si="2"/>
        <v>10.055796345222046</v>
      </c>
      <c r="K43" s="1">
        <f t="shared" si="2"/>
        <v>9.512896822106109</v>
      </c>
      <c r="L43" s="1">
        <f t="shared" si="2"/>
        <v>11.073267930657021</v>
      </c>
      <c r="M43" s="1">
        <f t="shared" si="2"/>
        <v>10.76031803345847</v>
      </c>
      <c r="N43" s="1">
        <f t="shared" si="2"/>
        <v>11.036527880134495</v>
      </c>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row>
    <row r="44" spans="1:44" s="1" customFormat="1" ht="12.75">
      <c r="A44" s="1" t="s">
        <v>50</v>
      </c>
      <c r="B44" s="1">
        <f aca="true" t="shared" si="3" ref="B44:N44">B219/2*B189/23*18.016</f>
        <v>2.007535967459048</v>
      </c>
      <c r="C44" s="1">
        <f t="shared" si="3"/>
        <v>1.9870013543314973</v>
      </c>
      <c r="D44" s="1">
        <f t="shared" si="3"/>
        <v>2.018697657945086</v>
      </c>
      <c r="E44" s="1">
        <f t="shared" si="3"/>
        <v>1.9738456115866732</v>
      </c>
      <c r="F44" s="1">
        <f t="shared" si="3"/>
        <v>2.013167297388143</v>
      </c>
      <c r="G44" s="32">
        <f t="shared" si="3"/>
        <v>2.022121473121567</v>
      </c>
      <c r="H44" s="1">
        <f t="shared" si="3"/>
        <v>2.0446189150457577</v>
      </c>
      <c r="I44" s="1">
        <f t="shared" si="3"/>
        <v>2.011837164771006</v>
      </c>
      <c r="J44" s="1">
        <f t="shared" si="3"/>
        <v>2.0539395118719663</v>
      </c>
      <c r="K44" s="1">
        <f t="shared" si="3"/>
        <v>2.0270888441440085</v>
      </c>
      <c r="L44" s="1">
        <f t="shared" si="3"/>
        <v>2.0533689026611692</v>
      </c>
      <c r="M44" s="1">
        <f t="shared" si="3"/>
        <v>2.010508993309641</v>
      </c>
      <c r="N44" s="1">
        <f t="shared" si="3"/>
        <v>2.0388040523126176</v>
      </c>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row>
    <row r="45" spans="1:44" s="1" customFormat="1" ht="12.75">
      <c r="A45" s="6" t="s">
        <v>51</v>
      </c>
      <c r="B45" s="6">
        <f aca="true" t="shared" si="4" ref="B45:N45">16/38*B31+16/70.914*B32</f>
        <v>0</v>
      </c>
      <c r="C45" s="6">
        <f t="shared" si="4"/>
        <v>0</v>
      </c>
      <c r="D45" s="6">
        <f t="shared" si="4"/>
        <v>0</v>
      </c>
      <c r="E45" s="6">
        <f t="shared" si="4"/>
        <v>0</v>
      </c>
      <c r="F45" s="6">
        <f t="shared" si="4"/>
        <v>0</v>
      </c>
      <c r="G45" s="38">
        <f t="shared" si="4"/>
        <v>0</v>
      </c>
      <c r="H45" s="6">
        <f t="shared" si="4"/>
        <v>0</v>
      </c>
      <c r="I45" s="6">
        <f t="shared" si="4"/>
        <v>0</v>
      </c>
      <c r="J45" s="6">
        <f t="shared" si="4"/>
        <v>0</v>
      </c>
      <c r="K45" s="6">
        <f t="shared" si="4"/>
        <v>0</v>
      </c>
      <c r="L45" s="6">
        <f t="shared" si="4"/>
        <v>0</v>
      </c>
      <c r="M45" s="6">
        <f t="shared" si="4"/>
        <v>0</v>
      </c>
      <c r="N45" s="6">
        <f t="shared" si="4"/>
        <v>0</v>
      </c>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row>
    <row r="46" spans="1:44" s="1" customFormat="1" ht="12.75">
      <c r="A46" s="1" t="s">
        <v>52</v>
      </c>
      <c r="B46" s="1">
        <f aca="true" t="shared" si="5" ref="B46:N46">B22+B23+B24+B26+B27+B28+B29+B30+B31+B32+B42+B43+B44-B45</f>
        <v>99.39124629571825</v>
      </c>
      <c r="C46" s="1">
        <f t="shared" si="5"/>
        <v>98.45891150553643</v>
      </c>
      <c r="D46" s="1">
        <f t="shared" si="5"/>
        <v>99.96091426273505</v>
      </c>
      <c r="E46" s="1">
        <f t="shared" si="5"/>
        <v>97.58273916643856</v>
      </c>
      <c r="F46" s="1">
        <f t="shared" si="5"/>
        <v>99.45863587940065</v>
      </c>
      <c r="G46" s="32">
        <f t="shared" si="5"/>
        <v>99.19842981250078</v>
      </c>
      <c r="H46" s="1">
        <f t="shared" si="5"/>
        <v>100.72133103062295</v>
      </c>
      <c r="I46" s="1">
        <f t="shared" si="5"/>
        <v>98.59510844697039</v>
      </c>
      <c r="J46" s="1">
        <f t="shared" si="5"/>
        <v>100.9498216167881</v>
      </c>
      <c r="K46" s="1">
        <f t="shared" si="5"/>
        <v>99.35879831419481</v>
      </c>
      <c r="L46" s="1">
        <f t="shared" si="5"/>
        <v>101.25825208365971</v>
      </c>
      <c r="M46" s="1">
        <f t="shared" si="5"/>
        <v>99.36908179403802</v>
      </c>
      <c r="N46" s="1">
        <f t="shared" si="5"/>
        <v>101.15638689098937</v>
      </c>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row>
    <row r="47" spans="7:44" s="1" customFormat="1" ht="12.75">
      <c r="G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row>
    <row r="48" spans="1:44" s="1" customFormat="1" ht="12.75" customHeight="1">
      <c r="A48" s="18" t="s">
        <v>53</v>
      </c>
      <c r="B48" s="19">
        <f aca="true" t="shared" si="6" ref="B48:N48">B60/(B60+B63+B67)</f>
        <v>0.2488396119407261</v>
      </c>
      <c r="C48" s="19">
        <f t="shared" si="6"/>
        <v>0.23374513964375493</v>
      </c>
      <c r="D48" s="19">
        <f t="shared" si="6"/>
        <v>0.2064858395688564</v>
      </c>
      <c r="E48" s="19">
        <f t="shared" si="6"/>
        <v>0.23122759967815276</v>
      </c>
      <c r="F48" s="19">
        <f t="shared" si="6"/>
        <v>0.2489141970061447</v>
      </c>
      <c r="G48" s="19">
        <f t="shared" si="6"/>
        <v>0.24705550241589588</v>
      </c>
      <c r="H48" s="19">
        <f t="shared" si="6"/>
        <v>0.28664190692017094</v>
      </c>
      <c r="I48" s="19">
        <f t="shared" si="6"/>
        <v>0.2778878072553342</v>
      </c>
      <c r="J48" s="19">
        <f t="shared" si="6"/>
        <v>0.2938345263186766</v>
      </c>
      <c r="K48" s="19">
        <f t="shared" si="6"/>
        <v>0.2942954879743242</v>
      </c>
      <c r="L48" s="19">
        <f t="shared" si="6"/>
        <v>0.23790310181300603</v>
      </c>
      <c r="M48" s="19">
        <f t="shared" si="6"/>
        <v>0.2496291468996883</v>
      </c>
      <c r="N48" s="19">
        <f t="shared" si="6"/>
        <v>0.25226775879847607</v>
      </c>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row>
    <row r="50" spans="1:44" s="8" customFormat="1" ht="12.75">
      <c r="A50" s="8" t="s">
        <v>54</v>
      </c>
      <c r="B50"/>
      <c r="C50"/>
      <c r="D50"/>
      <c r="E50"/>
      <c r="F50"/>
      <c r="G50" s="14"/>
      <c r="H50"/>
      <c r="I50"/>
      <c r="J50"/>
      <c r="K50"/>
      <c r="L50"/>
      <c r="M50"/>
      <c r="N50"/>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s="2" customFormat="1" ht="12.75">
      <c r="A51" s="4" t="s">
        <v>55</v>
      </c>
      <c r="B51"/>
      <c r="C51"/>
      <c r="D51"/>
      <c r="E51"/>
      <c r="F51"/>
      <c r="G51" s="14"/>
      <c r="H51"/>
      <c r="I51"/>
      <c r="J51"/>
      <c r="K51"/>
      <c r="L51"/>
      <c r="M51"/>
      <c r="N51"/>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spans="1:44" s="3" customFormat="1" ht="12.75">
      <c r="A52" s="3" t="s">
        <v>56</v>
      </c>
      <c r="B52" s="3">
        <f aca="true" t="shared" si="7" ref="B52:N52">B$238*B192</f>
        <v>6.8667008306294575</v>
      </c>
      <c r="C52" s="3">
        <f t="shared" si="7"/>
        <v>6.850963537280588</v>
      </c>
      <c r="D52" s="3">
        <f t="shared" si="7"/>
        <v>6.892235678916555</v>
      </c>
      <c r="E52" s="3">
        <f t="shared" si="7"/>
        <v>6.927020225801013</v>
      </c>
      <c r="F52" s="3">
        <f t="shared" si="7"/>
        <v>6.971088992088205</v>
      </c>
      <c r="G52" s="26">
        <f t="shared" si="7"/>
        <v>7.18487170232949</v>
      </c>
      <c r="H52" s="3">
        <f t="shared" si="7"/>
        <v>7.058175124576172</v>
      </c>
      <c r="I52" s="3">
        <f t="shared" si="7"/>
        <v>7.1673711734574415</v>
      </c>
      <c r="J52" s="3">
        <f t="shared" si="7"/>
        <v>7.1043744251179115</v>
      </c>
      <c r="K52" s="3">
        <f t="shared" si="7"/>
        <v>7.141587841828518</v>
      </c>
      <c r="L52" s="3">
        <f t="shared" si="7"/>
        <v>7.072179881826802</v>
      </c>
      <c r="M52" s="3">
        <f t="shared" si="7"/>
        <v>6.981376895943803</v>
      </c>
      <c r="N52" s="3">
        <f t="shared" si="7"/>
        <v>6.839103357080603</v>
      </c>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1:44" s="3" customFormat="1" ht="12.75">
      <c r="A53" s="3" t="s">
        <v>57</v>
      </c>
      <c r="B53" s="3">
        <f aca="true" t="shared" si="8" ref="B53:N53">8-B52</f>
        <v>1.1332991693705425</v>
      </c>
      <c r="C53" s="3">
        <f t="shared" si="8"/>
        <v>1.1490364627194118</v>
      </c>
      <c r="D53" s="3">
        <f t="shared" si="8"/>
        <v>1.1077643210834447</v>
      </c>
      <c r="E53" s="3">
        <f t="shared" si="8"/>
        <v>1.0729797741989868</v>
      </c>
      <c r="F53" s="3">
        <f t="shared" si="8"/>
        <v>1.0289110079117947</v>
      </c>
      <c r="G53" s="26">
        <f t="shared" si="8"/>
        <v>0.8151282976705101</v>
      </c>
      <c r="H53" s="3">
        <f t="shared" si="8"/>
        <v>0.9418248754238281</v>
      </c>
      <c r="I53" s="3">
        <f t="shared" si="8"/>
        <v>0.8326288265425585</v>
      </c>
      <c r="J53" s="3">
        <f t="shared" si="8"/>
        <v>0.8956255748820885</v>
      </c>
      <c r="K53" s="3">
        <f t="shared" si="8"/>
        <v>0.8584121581714816</v>
      </c>
      <c r="L53" s="3">
        <f t="shared" si="8"/>
        <v>0.927820118173198</v>
      </c>
      <c r="M53" s="3">
        <f t="shared" si="8"/>
        <v>1.0186231040561973</v>
      </c>
      <c r="N53" s="3">
        <f t="shared" si="8"/>
        <v>1.160896642919397</v>
      </c>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spans="7:44" s="3" customFormat="1" ht="12.75">
      <c r="G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44" s="3" customFormat="1" ht="12.75">
      <c r="A55" s="3" t="s">
        <v>58</v>
      </c>
      <c r="B55" s="3">
        <f aca="true" t="shared" si="9" ref="B55:N55">B$238*B195</f>
        <v>1.1876204647225512</v>
      </c>
      <c r="C55" s="3">
        <f t="shared" si="9"/>
        <v>1.2109908974203207</v>
      </c>
      <c r="D55" s="3">
        <f t="shared" si="9"/>
        <v>1.1620199664010211</v>
      </c>
      <c r="E55" s="3">
        <f t="shared" si="9"/>
        <v>1.1448313339027987</v>
      </c>
      <c r="F55" s="3">
        <f t="shared" si="9"/>
        <v>1.0970639755210525</v>
      </c>
      <c r="G55" s="26">
        <f t="shared" si="9"/>
        <v>0.8816891798568961</v>
      </c>
      <c r="H55" s="3">
        <f t="shared" si="9"/>
        <v>0.998667099735323</v>
      </c>
      <c r="I55" s="3">
        <f t="shared" si="9"/>
        <v>0.9042820510044627</v>
      </c>
      <c r="J55" s="3">
        <f t="shared" si="9"/>
        <v>0.985459116030094</v>
      </c>
      <c r="K55" s="3">
        <f t="shared" si="9"/>
        <v>0.917855179746657</v>
      </c>
      <c r="L55" s="3">
        <f t="shared" si="9"/>
        <v>0.97055899308455</v>
      </c>
      <c r="M55" s="3">
        <f t="shared" si="9"/>
        <v>1.0568947573415852</v>
      </c>
      <c r="N55" s="3">
        <f t="shared" si="9"/>
        <v>1.225644128764891</v>
      </c>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7:44" s="3" customFormat="1" ht="12.75">
      <c r="G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s="3" customFormat="1" ht="12.75">
      <c r="A57" s="5" t="s">
        <v>59</v>
      </c>
      <c r="G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row r="58" spans="1:44" s="3" customFormat="1" ht="12.75">
      <c r="A58" s="3" t="s">
        <v>60</v>
      </c>
      <c r="B58" s="3">
        <f aca="true" t="shared" si="10" ref="B58:N58">B55-B53</f>
        <v>0.05432129535200869</v>
      </c>
      <c r="C58" s="3">
        <f t="shared" si="10"/>
        <v>0.06195443470090889</v>
      </c>
      <c r="D58" s="3">
        <f t="shared" si="10"/>
        <v>0.05425564531757643</v>
      </c>
      <c r="E58" s="3">
        <f t="shared" si="10"/>
        <v>0.07185155970381185</v>
      </c>
      <c r="F58" s="3">
        <f t="shared" si="10"/>
        <v>0.06815296760925782</v>
      </c>
      <c r="G58" s="26">
        <f t="shared" si="10"/>
        <v>0.066560882186386</v>
      </c>
      <c r="H58" s="3">
        <f t="shared" si="10"/>
        <v>0.05684222431149488</v>
      </c>
      <c r="I58" s="3">
        <f t="shared" si="10"/>
        <v>0.07165322446190414</v>
      </c>
      <c r="J58" s="3">
        <f t="shared" si="10"/>
        <v>0.08983354114800546</v>
      </c>
      <c r="K58" s="3">
        <f t="shared" si="10"/>
        <v>0.05944302157517534</v>
      </c>
      <c r="L58" s="3">
        <f t="shared" si="10"/>
        <v>0.042738874911351976</v>
      </c>
      <c r="M58" s="3">
        <f t="shared" si="10"/>
        <v>0.03827165328538795</v>
      </c>
      <c r="N58" s="3">
        <f t="shared" si="10"/>
        <v>0.06474748584549395</v>
      </c>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s="3" customFormat="1" ht="12.75">
      <c r="A59" s="3" t="s">
        <v>61</v>
      </c>
      <c r="B59" s="3">
        <f aca="true" t="shared" si="11" ref="B59:N59">B$238*B199</f>
        <v>0.14128697795955242</v>
      </c>
      <c r="C59" s="3">
        <f t="shared" si="11"/>
        <v>0.14730696834358634</v>
      </c>
      <c r="D59" s="3">
        <f t="shared" si="11"/>
        <v>0.1440451629441474</v>
      </c>
      <c r="E59" s="3">
        <f t="shared" si="11"/>
        <v>0.1437981729546867</v>
      </c>
      <c r="F59" s="3">
        <f t="shared" si="11"/>
        <v>0.1397465176333891</v>
      </c>
      <c r="G59" s="26">
        <f t="shared" si="11"/>
        <v>0.057460437281865395</v>
      </c>
      <c r="H59" s="3">
        <f t="shared" si="11"/>
        <v>0.0698161223083778</v>
      </c>
      <c r="I59" s="3">
        <f t="shared" si="11"/>
        <v>0.06656097449653046</v>
      </c>
      <c r="J59" s="3">
        <f t="shared" si="11"/>
        <v>0.0879453579208113</v>
      </c>
      <c r="K59" s="3">
        <f t="shared" si="11"/>
        <v>0.06383492885086273</v>
      </c>
      <c r="L59" s="3">
        <f t="shared" si="11"/>
        <v>0.08160913775818109</v>
      </c>
      <c r="M59" s="3">
        <f t="shared" si="11"/>
        <v>0.08330521128402975</v>
      </c>
      <c r="N59" s="3">
        <f t="shared" si="11"/>
        <v>0.14126147671224001</v>
      </c>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spans="1:44" s="3" customFormat="1" ht="12.75">
      <c r="A60" s="3" t="s">
        <v>62</v>
      </c>
      <c r="B60" s="3">
        <f aca="true" t="shared" si="12" ref="B60:N60">IF(46*(1-B238)&lt;B238*(B203+B207),46*(1-B238),B238*(B203+B207))</f>
        <v>0.4374536204182147</v>
      </c>
      <c r="C60" s="3">
        <f t="shared" si="12"/>
        <v>0.41768302041309124</v>
      </c>
      <c r="D60" s="3">
        <f t="shared" si="12"/>
        <v>0.3676490555847032</v>
      </c>
      <c r="E60" s="3">
        <f t="shared" si="12"/>
        <v>0.40585611949662903</v>
      </c>
      <c r="F60" s="3">
        <f t="shared" si="12"/>
        <v>0.4491428080798783</v>
      </c>
      <c r="G60" s="26">
        <f t="shared" si="12"/>
        <v>0.4153040996418196</v>
      </c>
      <c r="H60" s="3">
        <f t="shared" si="12"/>
        <v>0.49759393101100136</v>
      </c>
      <c r="I60" s="3">
        <f t="shared" si="12"/>
        <v>0.46896887222184414</v>
      </c>
      <c r="J60" s="3">
        <f t="shared" si="12"/>
        <v>0.5051969537674996</v>
      </c>
      <c r="K60" s="3">
        <f t="shared" si="12"/>
        <v>0.4855387409949019</v>
      </c>
      <c r="L60" s="3">
        <f t="shared" si="12"/>
        <v>0.4182762941098894</v>
      </c>
      <c r="M60" s="3">
        <f t="shared" si="12"/>
        <v>0.44215583183362805</v>
      </c>
      <c r="N60" s="3">
        <f t="shared" si="12"/>
        <v>0.4534215370621353</v>
      </c>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spans="1:44" s="3" customFormat="1" ht="12.75">
      <c r="A61" s="3" t="s">
        <v>63</v>
      </c>
      <c r="B61" s="3">
        <f aca="true" t="shared" si="13" ref="B61:N61">B$238*B201</f>
        <v>3.0136525863504535</v>
      </c>
      <c r="C61" s="3">
        <f t="shared" si="13"/>
        <v>2.9948668627614623</v>
      </c>
      <c r="D61" s="3">
        <f t="shared" si="13"/>
        <v>3.003776948702063</v>
      </c>
      <c r="E61" s="3">
        <f t="shared" si="13"/>
        <v>2.9774661025415683</v>
      </c>
      <c r="F61" s="3">
        <f t="shared" si="13"/>
        <v>2.97807753415534</v>
      </c>
      <c r="G61" s="26">
        <f t="shared" si="13"/>
        <v>3.140082006576894</v>
      </c>
      <c r="H61" s="3">
        <f t="shared" si="13"/>
        <v>3.1107334527453343</v>
      </c>
      <c r="I61" s="3">
        <f t="shared" si="13"/>
        <v>3.185393302923803</v>
      </c>
      <c r="J61" s="3">
        <f t="shared" si="13"/>
        <v>3.0616747872798564</v>
      </c>
      <c r="K61" s="3">
        <f t="shared" si="13"/>
        <v>3.1864481565509224</v>
      </c>
      <c r="L61" s="3">
        <f t="shared" si="13"/>
        <v>3.0770018328425466</v>
      </c>
      <c r="M61" s="3">
        <f t="shared" si="13"/>
        <v>3.083722559726575</v>
      </c>
      <c r="N61" s="3">
        <f t="shared" si="13"/>
        <v>2.9381837458323727</v>
      </c>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row>
    <row r="62" spans="1:44" s="3" customFormat="1" ht="12.75">
      <c r="A62" s="3" t="s">
        <v>64</v>
      </c>
      <c r="B62" s="3">
        <f aca="true" t="shared" si="14" ref="B62:N62">B$238*B202</f>
        <v>0.09522864447515658</v>
      </c>
      <c r="C62" s="3">
        <f t="shared" si="14"/>
        <v>0.08738898232190902</v>
      </c>
      <c r="D62" s="3">
        <f t="shared" si="14"/>
        <v>0.08735926312014665</v>
      </c>
      <c r="E62" s="3">
        <f t="shared" si="14"/>
        <v>0.09564593250933584</v>
      </c>
      <c r="F62" s="3">
        <f t="shared" si="14"/>
        <v>0.09993463520621307</v>
      </c>
      <c r="G62" s="26">
        <f t="shared" si="14"/>
        <v>0.09956602413352662</v>
      </c>
      <c r="H62" s="3">
        <f t="shared" si="14"/>
        <v>0.10935064564841451</v>
      </c>
      <c r="I62" s="3">
        <f t="shared" si="14"/>
        <v>0.10870343530160045</v>
      </c>
      <c r="J62" s="3">
        <f t="shared" si="14"/>
        <v>0.09905320126688502</v>
      </c>
      <c r="K62" s="3">
        <f t="shared" si="14"/>
        <v>0.10536707059162047</v>
      </c>
      <c r="L62" s="3">
        <f t="shared" si="14"/>
        <v>0.09927002700069022</v>
      </c>
      <c r="M62" s="3">
        <f t="shared" si="14"/>
        <v>0.09132493296802188</v>
      </c>
      <c r="N62" s="3">
        <f t="shared" si="14"/>
        <v>0.08547180222822244</v>
      </c>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row>
    <row r="63" spans="1:44" s="3" customFormat="1" ht="12.75">
      <c r="A63" s="3" t="s">
        <v>65</v>
      </c>
      <c r="B63" s="3">
        <f aca="true" t="shared" si="15" ref="B63:N63">IF((B238*(B203+B207)-B60+B62+B61+B60+B59+B58)&gt;5,5-(B62+B61+B60+B59+B58),B238*(B203+B207)-B60)</f>
        <v>1.2580568754446144</v>
      </c>
      <c r="C63" s="3">
        <f t="shared" si="15"/>
        <v>1.2907997314590425</v>
      </c>
      <c r="D63" s="3">
        <f t="shared" si="15"/>
        <v>1.3429139243313637</v>
      </c>
      <c r="E63" s="3">
        <f t="shared" si="15"/>
        <v>1.3053821127939682</v>
      </c>
      <c r="F63" s="3">
        <f t="shared" si="15"/>
        <v>1.2649455373159215</v>
      </c>
      <c r="G63" s="26">
        <f t="shared" si="15"/>
        <v>1.2210265501795083</v>
      </c>
      <c r="H63" s="3">
        <f t="shared" si="15"/>
        <v>1.1556636239753773</v>
      </c>
      <c r="I63" s="3">
        <f t="shared" si="15"/>
        <v>1.0987201905943178</v>
      </c>
      <c r="J63" s="3">
        <f t="shared" si="15"/>
        <v>1.156296158616942</v>
      </c>
      <c r="K63" s="3">
        <f t="shared" si="15"/>
        <v>1.0993680814365172</v>
      </c>
      <c r="L63" s="3">
        <f t="shared" si="15"/>
        <v>1.2811038333773404</v>
      </c>
      <c r="M63" s="3">
        <f t="shared" si="15"/>
        <v>1.2612198109023578</v>
      </c>
      <c r="N63" s="3">
        <f t="shared" si="15"/>
        <v>1.3169139523195357</v>
      </c>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spans="1:44" s="3" customFormat="1" ht="12.75">
      <c r="A64" s="3" t="s">
        <v>66</v>
      </c>
      <c r="B64" s="5">
        <f aca="true" t="shared" si="16" ref="B64:N64">IF(SUM(B58:B63)&gt;=5,0,5-SUM(B58:B63))</f>
        <v>0</v>
      </c>
      <c r="C64" s="5">
        <f t="shared" si="16"/>
        <v>0</v>
      </c>
      <c r="D64" s="5">
        <f t="shared" si="16"/>
        <v>0</v>
      </c>
      <c r="E64" s="5">
        <f t="shared" si="16"/>
        <v>0</v>
      </c>
      <c r="F64" s="5">
        <f t="shared" si="16"/>
        <v>0</v>
      </c>
      <c r="G64" s="59">
        <f t="shared" si="16"/>
        <v>0</v>
      </c>
      <c r="H64" s="5">
        <f t="shared" si="16"/>
        <v>0</v>
      </c>
      <c r="I64" s="5">
        <f t="shared" si="16"/>
        <v>0</v>
      </c>
      <c r="J64" s="5">
        <f t="shared" si="16"/>
        <v>0</v>
      </c>
      <c r="K64" s="5">
        <f t="shared" si="16"/>
        <v>0</v>
      </c>
      <c r="L64" s="5">
        <f t="shared" si="16"/>
        <v>0</v>
      </c>
      <c r="M64" s="5">
        <f t="shared" si="16"/>
        <v>0</v>
      </c>
      <c r="N64" s="5">
        <f t="shared" si="16"/>
        <v>0</v>
      </c>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spans="2:44" s="3" customFormat="1" ht="12.75">
      <c r="B65" s="3">
        <f aca="true" t="shared" si="17" ref="B65:N65">SUM(B58:B64)</f>
        <v>5</v>
      </c>
      <c r="C65" s="3">
        <f t="shared" si="17"/>
        <v>5</v>
      </c>
      <c r="D65" s="3">
        <f t="shared" si="17"/>
        <v>5</v>
      </c>
      <c r="E65" s="3">
        <f t="shared" si="17"/>
        <v>5</v>
      </c>
      <c r="F65" s="3">
        <f t="shared" si="17"/>
        <v>5</v>
      </c>
      <c r="G65" s="26">
        <f t="shared" si="17"/>
        <v>5</v>
      </c>
      <c r="H65" s="3">
        <f t="shared" si="17"/>
        <v>5</v>
      </c>
      <c r="I65" s="3">
        <f t="shared" si="17"/>
        <v>5</v>
      </c>
      <c r="J65" s="3">
        <f t="shared" si="17"/>
        <v>5</v>
      </c>
      <c r="K65" s="3">
        <f t="shared" si="17"/>
        <v>5</v>
      </c>
      <c r="L65" s="3">
        <f t="shared" si="17"/>
        <v>5</v>
      </c>
      <c r="M65" s="3">
        <f t="shared" si="17"/>
        <v>5</v>
      </c>
      <c r="N65" s="3">
        <f t="shared" si="17"/>
        <v>5</v>
      </c>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row>
    <row r="66" spans="1:44" s="3" customFormat="1" ht="12.75">
      <c r="A66" s="5" t="s">
        <v>67</v>
      </c>
      <c r="G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row>
    <row r="67" spans="1:44" s="3" customFormat="1" ht="12.75">
      <c r="A67" s="3" t="s">
        <v>68</v>
      </c>
      <c r="B67" s="3">
        <f aca="true" t="shared" si="18" ref="B67:N67">B238*(B203+B207)-B60-B63</f>
        <v>0.06246371494094216</v>
      </c>
      <c r="C67" s="3">
        <f t="shared" si="18"/>
        <v>0.07843363513668877</v>
      </c>
      <c r="D67" s="3">
        <f t="shared" si="18"/>
        <v>0.06994195132937087</v>
      </c>
      <c r="E67" s="3">
        <f t="shared" si="18"/>
        <v>0.04398527935568919</v>
      </c>
      <c r="F67" s="3">
        <f t="shared" si="18"/>
        <v>0.0903198140503676</v>
      </c>
      <c r="G67" s="26">
        <f t="shared" si="18"/>
        <v>0.04468473166445741</v>
      </c>
      <c r="H67" s="3">
        <f t="shared" si="18"/>
        <v>0.08268516308094176</v>
      </c>
      <c r="I67" s="3">
        <f t="shared" si="18"/>
        <v>0.11993040078605799</v>
      </c>
      <c r="J67" s="3">
        <f t="shared" si="18"/>
        <v>0.057831570446026825</v>
      </c>
      <c r="K67" s="3">
        <f t="shared" si="18"/>
        <v>0.06492730970880145</v>
      </c>
      <c r="L67" s="3">
        <f t="shared" si="18"/>
        <v>0.05879910986739012</v>
      </c>
      <c r="M67" s="3">
        <f t="shared" si="18"/>
        <v>0.06787518003474302</v>
      </c>
      <c r="N67" s="3">
        <f t="shared" si="18"/>
        <v>0.027046543192498662</v>
      </c>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spans="1:44" s="3" customFormat="1" ht="12.75">
      <c r="A68" s="3" t="s">
        <v>66</v>
      </c>
      <c r="B68" s="3">
        <f aca="true" t="shared" si="19" ref="B68:N68">IF(B$238*(B208+B212+B204)-B64&lt;2-B67,B$238*(B208+B212+B204)-B64,2-B67)</f>
        <v>1.8370485127635703</v>
      </c>
      <c r="C68" s="3">
        <f t="shared" si="19"/>
        <v>1.8071735848047052</v>
      </c>
      <c r="D68" s="3">
        <f t="shared" si="19"/>
        <v>1.8296900957143807</v>
      </c>
      <c r="E68" s="3">
        <f t="shared" si="19"/>
        <v>1.8229168737517552</v>
      </c>
      <c r="F68" s="3">
        <f t="shared" si="19"/>
        <v>1.7840341590821067</v>
      </c>
      <c r="G68" s="26">
        <f t="shared" si="19"/>
        <v>1.8325563497159612</v>
      </c>
      <c r="H68" s="3">
        <f t="shared" si="19"/>
        <v>1.8122289945904084</v>
      </c>
      <c r="I68" s="3">
        <f t="shared" si="19"/>
        <v>1.7480840999981277</v>
      </c>
      <c r="J68" s="3">
        <f t="shared" si="19"/>
        <v>1.765030931489603</v>
      </c>
      <c r="K68" s="3">
        <f t="shared" si="19"/>
        <v>1.8252490865494175</v>
      </c>
      <c r="L68" s="3">
        <f t="shared" si="19"/>
        <v>1.8619126719831867</v>
      </c>
      <c r="M68" s="3">
        <f t="shared" si="19"/>
        <v>1.8610455503458194</v>
      </c>
      <c r="N68" s="3">
        <f t="shared" si="19"/>
        <v>1.8534857295914307</v>
      </c>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row>
    <row r="69" spans="1:44" s="3" customFormat="1" ht="12.75">
      <c r="A69" s="3" t="s">
        <v>69</v>
      </c>
      <c r="B69" s="5">
        <f aca="true" t="shared" si="20" ref="B69:N69">IF(B67+B68&gt;=2,0,2-B67-B68)</f>
        <v>0.10048777229548755</v>
      </c>
      <c r="C69" s="5">
        <f t="shared" si="20"/>
        <v>0.11439278005860598</v>
      </c>
      <c r="D69" s="5">
        <f t="shared" si="20"/>
        <v>0.10036795295624845</v>
      </c>
      <c r="E69" s="5">
        <f t="shared" si="20"/>
        <v>0.13309784689255566</v>
      </c>
      <c r="F69" s="5">
        <f t="shared" si="20"/>
        <v>0.12564602686752568</v>
      </c>
      <c r="G69" s="59">
        <f t="shared" si="20"/>
        <v>0.12275891861958144</v>
      </c>
      <c r="H69" s="5">
        <f t="shared" si="20"/>
        <v>0.10508584232864981</v>
      </c>
      <c r="I69" s="5">
        <f t="shared" si="20"/>
        <v>0.13198549921581426</v>
      </c>
      <c r="J69" s="5">
        <f t="shared" si="20"/>
        <v>0.17713749806437007</v>
      </c>
      <c r="K69" s="5">
        <f t="shared" si="20"/>
        <v>0.10982360374178102</v>
      </c>
      <c r="L69" s="5">
        <f t="shared" si="20"/>
        <v>0.07928821814942322</v>
      </c>
      <c r="M69" s="5">
        <f t="shared" si="20"/>
        <v>0.07107926961943756</v>
      </c>
      <c r="N69" s="5">
        <f t="shared" si="20"/>
        <v>0.11946772721607068</v>
      </c>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row>
    <row r="70" spans="2:44" s="3" customFormat="1" ht="12.75">
      <c r="B70" s="3">
        <f aca="true" t="shared" si="21" ref="B70:N70">SUM(B67:B69)</f>
        <v>2</v>
      </c>
      <c r="C70" s="3">
        <f t="shared" si="21"/>
        <v>2</v>
      </c>
      <c r="D70" s="3">
        <f t="shared" si="21"/>
        <v>2</v>
      </c>
      <c r="E70" s="3">
        <f t="shared" si="21"/>
        <v>2</v>
      </c>
      <c r="F70" s="3">
        <f t="shared" si="21"/>
        <v>2</v>
      </c>
      <c r="G70" s="26">
        <f t="shared" si="21"/>
        <v>2</v>
      </c>
      <c r="H70" s="3">
        <f t="shared" si="21"/>
        <v>2</v>
      </c>
      <c r="I70" s="3">
        <f t="shared" si="21"/>
        <v>2</v>
      </c>
      <c r="J70" s="3">
        <f t="shared" si="21"/>
        <v>2</v>
      </c>
      <c r="K70" s="3">
        <f t="shared" si="21"/>
        <v>2</v>
      </c>
      <c r="L70" s="3">
        <f t="shared" si="21"/>
        <v>2</v>
      </c>
      <c r="M70" s="3">
        <f t="shared" si="21"/>
        <v>2</v>
      </c>
      <c r="N70" s="3">
        <f t="shared" si="21"/>
        <v>2</v>
      </c>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row>
    <row r="71" spans="1:44" s="3" customFormat="1" ht="12.75">
      <c r="A71" s="5" t="s">
        <v>70</v>
      </c>
      <c r="G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s="3" customFormat="1" ht="12.75">
      <c r="A72" s="9" t="s">
        <v>66</v>
      </c>
      <c r="B72" s="3">
        <f aca="true" t="shared" si="22" ref="B72:N72">IF(B69&gt;=0,0,B238*(B212+B208+B204)-B68-B64)</f>
        <v>0</v>
      </c>
      <c r="C72" s="3">
        <f t="shared" si="22"/>
        <v>0</v>
      </c>
      <c r="D72" s="3">
        <f t="shared" si="22"/>
        <v>0</v>
      </c>
      <c r="E72" s="3">
        <f t="shared" si="22"/>
        <v>0</v>
      </c>
      <c r="F72" s="3">
        <f t="shared" si="22"/>
        <v>0</v>
      </c>
      <c r="G72" s="26">
        <f t="shared" si="22"/>
        <v>0</v>
      </c>
      <c r="H72" s="3">
        <f t="shared" si="22"/>
        <v>0</v>
      </c>
      <c r="I72" s="3">
        <f t="shared" si="22"/>
        <v>0</v>
      </c>
      <c r="J72" s="3">
        <f t="shared" si="22"/>
        <v>0</v>
      </c>
      <c r="K72" s="3">
        <f t="shared" si="22"/>
        <v>0</v>
      </c>
      <c r="L72" s="3">
        <f t="shared" si="22"/>
        <v>0</v>
      </c>
      <c r="M72" s="3">
        <f t="shared" si="22"/>
        <v>0</v>
      </c>
      <c r="N72" s="3">
        <f t="shared" si="22"/>
        <v>0</v>
      </c>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s="3" customFormat="1" ht="12.75">
      <c r="A73" s="3" t="s">
        <v>69</v>
      </c>
      <c r="B73" s="3">
        <f aca="true" t="shared" si="23" ref="B73:N73">B238*(B209+B213)-B69</f>
        <v>0.2895875829066147</v>
      </c>
      <c r="C73" s="3">
        <f t="shared" si="23"/>
        <v>0.31177490942472946</v>
      </c>
      <c r="D73" s="3">
        <f t="shared" si="23"/>
        <v>0.3195687662222462</v>
      </c>
      <c r="E73" s="3">
        <f t="shared" si="23"/>
        <v>0.2755873168903576</v>
      </c>
      <c r="F73" s="3">
        <f t="shared" si="23"/>
        <v>0.2260656199202663</v>
      </c>
      <c r="G73" s="26">
        <f t="shared" si="23"/>
        <v>0.23050432927981468</v>
      </c>
      <c r="H73" s="3">
        <f t="shared" si="23"/>
        <v>0.24365966714511073</v>
      </c>
      <c r="I73" s="3">
        <f t="shared" si="23"/>
        <v>0.1854844257690088</v>
      </c>
      <c r="J73" s="3">
        <f t="shared" si="23"/>
        <v>0.1839635936606247</v>
      </c>
      <c r="K73" s="3">
        <f t="shared" si="23"/>
        <v>0.196630421308798</v>
      </c>
      <c r="L73" s="3">
        <f t="shared" si="23"/>
        <v>0.2573550709024264</v>
      </c>
      <c r="M73" s="3">
        <f t="shared" si="23"/>
        <v>0.3126517383650711</v>
      </c>
      <c r="N73" s="3">
        <f t="shared" si="23"/>
        <v>0.31248542906764176</v>
      </c>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s="3" customFormat="1" ht="12.75">
      <c r="A74" s="3" t="s">
        <v>71</v>
      </c>
      <c r="B74" s="5">
        <f aca="true" t="shared" si="24" ref="B74:N74">B238*B214</f>
        <v>0.16985048707008735</v>
      </c>
      <c r="C74" s="5">
        <f t="shared" si="24"/>
        <v>0.1774029415521121</v>
      </c>
      <c r="D74" s="5">
        <f t="shared" si="24"/>
        <v>0.1785684810268742</v>
      </c>
      <c r="E74" s="5">
        <f t="shared" si="24"/>
        <v>0.1651862790913677</v>
      </c>
      <c r="F74" s="5">
        <f t="shared" si="24"/>
        <v>0.13170260390313504</v>
      </c>
      <c r="G74" s="59">
        <f t="shared" si="24"/>
        <v>0.11059703061834136</v>
      </c>
      <c r="H74" s="5">
        <f t="shared" si="24"/>
        <v>0.10918265066810108</v>
      </c>
      <c r="I74" s="5">
        <f t="shared" si="24"/>
        <v>0.1053858543125534</v>
      </c>
      <c r="J74" s="5">
        <f t="shared" si="24"/>
        <v>0.11787826852870453</v>
      </c>
      <c r="K74" s="5">
        <f t="shared" si="24"/>
        <v>0.09895372033265555</v>
      </c>
      <c r="L74" s="5">
        <f t="shared" si="24"/>
        <v>0.12551982088259012</v>
      </c>
      <c r="M74" s="5">
        <f t="shared" si="24"/>
        <v>0.1300127276234917</v>
      </c>
      <c r="N74" s="5">
        <f t="shared" si="24"/>
        <v>0.1671869647357129</v>
      </c>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s="3" customFormat="1" ht="12.75">
      <c r="A75" s="3" t="s">
        <v>72</v>
      </c>
      <c r="B75" s="3">
        <f aca="true" t="shared" si="25" ref="B75:N75">B73+B74+B72</f>
        <v>0.459438069976702</v>
      </c>
      <c r="C75" s="3">
        <f t="shared" si="25"/>
        <v>0.4891778509768415</v>
      </c>
      <c r="D75" s="3">
        <f t="shared" si="25"/>
        <v>0.49813724724912045</v>
      </c>
      <c r="E75" s="3">
        <f t="shared" si="25"/>
        <v>0.4407735959817253</v>
      </c>
      <c r="F75" s="3">
        <f t="shared" si="25"/>
        <v>0.35776822382340134</v>
      </c>
      <c r="G75" s="26">
        <f t="shared" si="25"/>
        <v>0.34110135989815604</v>
      </c>
      <c r="H75" s="3">
        <f t="shared" si="25"/>
        <v>0.3528423178132118</v>
      </c>
      <c r="I75" s="3">
        <f t="shared" si="25"/>
        <v>0.29087028008156224</v>
      </c>
      <c r="J75" s="3">
        <f t="shared" si="25"/>
        <v>0.30184186218932924</v>
      </c>
      <c r="K75" s="3">
        <f t="shared" si="25"/>
        <v>0.2955841416414535</v>
      </c>
      <c r="L75" s="3">
        <f t="shared" si="25"/>
        <v>0.3828748917850165</v>
      </c>
      <c r="M75" s="3">
        <f t="shared" si="25"/>
        <v>0.4426644659885628</v>
      </c>
      <c r="N75" s="3">
        <f t="shared" si="25"/>
        <v>0.4796723938033547</v>
      </c>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7:44" s="3" customFormat="1" ht="12.75">
      <c r="G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s="3" customFormat="1" ht="12.75">
      <c r="A77" s="5" t="s">
        <v>73</v>
      </c>
      <c r="G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s="3" customFormat="1" ht="12.75">
      <c r="A78" s="3" t="s">
        <v>74</v>
      </c>
      <c r="B78" s="3">
        <v>0</v>
      </c>
      <c r="C78" s="3">
        <v>0</v>
      </c>
      <c r="D78" s="3">
        <v>0</v>
      </c>
      <c r="E78" s="3">
        <v>0</v>
      </c>
      <c r="F78" s="3">
        <v>0</v>
      </c>
      <c r="G78" s="26">
        <v>0</v>
      </c>
      <c r="H78" s="3">
        <v>0</v>
      </c>
      <c r="I78" s="3">
        <v>0</v>
      </c>
      <c r="J78" s="3">
        <v>0</v>
      </c>
      <c r="K78" s="3">
        <v>0</v>
      </c>
      <c r="L78" s="3">
        <v>0</v>
      </c>
      <c r="M78" s="3">
        <v>0</v>
      </c>
      <c r="N78" s="3">
        <v>0</v>
      </c>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s="3" customFormat="1" ht="12.75">
      <c r="A79" s="3" t="s">
        <v>75</v>
      </c>
      <c r="B79" s="3">
        <f aca="true" t="shared" si="26" ref="B79:N79">2-(B78+B80+B81)</f>
        <v>2</v>
      </c>
      <c r="C79" s="3">
        <f t="shared" si="26"/>
        <v>2</v>
      </c>
      <c r="D79" s="3">
        <f t="shared" si="26"/>
        <v>2</v>
      </c>
      <c r="E79" s="3">
        <f t="shared" si="26"/>
        <v>2</v>
      </c>
      <c r="F79" s="3">
        <f t="shared" si="26"/>
        <v>2</v>
      </c>
      <c r="G79" s="26">
        <f t="shared" si="26"/>
        <v>2</v>
      </c>
      <c r="H79" s="3">
        <f t="shared" si="26"/>
        <v>2</v>
      </c>
      <c r="I79" s="3">
        <f t="shared" si="26"/>
        <v>2</v>
      </c>
      <c r="J79" s="3">
        <f t="shared" si="26"/>
        <v>2</v>
      </c>
      <c r="K79" s="3">
        <f t="shared" si="26"/>
        <v>2</v>
      </c>
      <c r="L79" s="3">
        <f t="shared" si="26"/>
        <v>2</v>
      </c>
      <c r="M79" s="3">
        <f t="shared" si="26"/>
        <v>2</v>
      </c>
      <c r="N79" s="3">
        <f t="shared" si="26"/>
        <v>2</v>
      </c>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1:44" s="3" customFormat="1" ht="12.75">
      <c r="A80" s="3" t="s">
        <v>108</v>
      </c>
      <c r="B80" s="3">
        <f aca="true" t="shared" si="27" ref="B80:N80">B220</f>
        <v>0</v>
      </c>
      <c r="C80" s="3">
        <f t="shared" si="27"/>
        <v>0</v>
      </c>
      <c r="D80" s="3">
        <f t="shared" si="27"/>
        <v>0</v>
      </c>
      <c r="E80" s="3">
        <f t="shared" si="27"/>
        <v>0</v>
      </c>
      <c r="F80" s="3">
        <f t="shared" si="27"/>
        <v>0</v>
      </c>
      <c r="G80" s="26">
        <f t="shared" si="27"/>
        <v>0</v>
      </c>
      <c r="H80" s="3">
        <f t="shared" si="27"/>
        <v>0</v>
      </c>
      <c r="I80" s="3">
        <f t="shared" si="27"/>
        <v>0</v>
      </c>
      <c r="J80" s="3">
        <f t="shared" si="27"/>
        <v>0</v>
      </c>
      <c r="K80" s="3">
        <f t="shared" si="27"/>
        <v>0</v>
      </c>
      <c r="L80" s="3">
        <f t="shared" si="27"/>
        <v>0</v>
      </c>
      <c r="M80" s="3">
        <f t="shared" si="27"/>
        <v>0</v>
      </c>
      <c r="N80" s="3">
        <f t="shared" si="27"/>
        <v>0</v>
      </c>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row>
    <row r="81" spans="1:44" s="3" customFormat="1" ht="12.75">
      <c r="A81" s="3" t="s">
        <v>109</v>
      </c>
      <c r="B81" s="5">
        <f aca="true" t="shared" si="28" ref="B81:N81">B221</f>
        <v>0</v>
      </c>
      <c r="C81" s="5">
        <f t="shared" si="28"/>
        <v>0</v>
      </c>
      <c r="D81" s="5">
        <f t="shared" si="28"/>
        <v>0</v>
      </c>
      <c r="E81" s="5">
        <f t="shared" si="28"/>
        <v>0</v>
      </c>
      <c r="F81" s="5">
        <f t="shared" si="28"/>
        <v>0</v>
      </c>
      <c r="G81" s="59">
        <f t="shared" si="28"/>
        <v>0</v>
      </c>
      <c r="H81" s="5">
        <f t="shared" si="28"/>
        <v>0</v>
      </c>
      <c r="I81" s="5">
        <f t="shared" si="28"/>
        <v>0</v>
      </c>
      <c r="J81" s="5">
        <f t="shared" si="28"/>
        <v>0</v>
      </c>
      <c r="K81" s="5">
        <f t="shared" si="28"/>
        <v>0</v>
      </c>
      <c r="L81" s="5">
        <f t="shared" si="28"/>
        <v>0</v>
      </c>
      <c r="M81" s="5">
        <f t="shared" si="28"/>
        <v>0</v>
      </c>
      <c r="N81" s="5">
        <f t="shared" si="28"/>
        <v>0</v>
      </c>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row>
    <row r="82" spans="2:44" s="3" customFormat="1" ht="12.75">
      <c r="B82" s="3">
        <f aca="true" t="shared" si="29" ref="B82:N82">SUM(B78:B81)</f>
        <v>2</v>
      </c>
      <c r="C82" s="3">
        <f t="shared" si="29"/>
        <v>2</v>
      </c>
      <c r="D82" s="3">
        <f t="shared" si="29"/>
        <v>2</v>
      </c>
      <c r="E82" s="3">
        <f t="shared" si="29"/>
        <v>2</v>
      </c>
      <c r="F82" s="3">
        <f t="shared" si="29"/>
        <v>2</v>
      </c>
      <c r="G82" s="26">
        <f t="shared" si="29"/>
        <v>2</v>
      </c>
      <c r="H82" s="3">
        <f t="shared" si="29"/>
        <v>2</v>
      </c>
      <c r="I82" s="3">
        <f t="shared" si="29"/>
        <v>2</v>
      </c>
      <c r="J82" s="3">
        <f t="shared" si="29"/>
        <v>2</v>
      </c>
      <c r="K82" s="3">
        <f t="shared" si="29"/>
        <v>2</v>
      </c>
      <c r="L82" s="3">
        <f t="shared" si="29"/>
        <v>2</v>
      </c>
      <c r="M82" s="3">
        <f t="shared" si="29"/>
        <v>2</v>
      </c>
      <c r="N82" s="3">
        <f t="shared" si="29"/>
        <v>2</v>
      </c>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row>
    <row r="83" spans="1:44" s="3" customFormat="1" ht="12.75">
      <c r="A83" s="3" t="s">
        <v>76</v>
      </c>
      <c r="B83" s="3">
        <f aca="true" t="shared" si="30" ref="B83:N83">8+5+B70+B75</f>
        <v>15.459438069976702</v>
      </c>
      <c r="C83" s="3">
        <f t="shared" si="30"/>
        <v>15.48917785097684</v>
      </c>
      <c r="D83" s="3">
        <f t="shared" si="30"/>
        <v>15.49813724724912</v>
      </c>
      <c r="E83" s="3">
        <f t="shared" si="30"/>
        <v>15.440773595981724</v>
      </c>
      <c r="F83" s="3">
        <f t="shared" si="30"/>
        <v>15.3577682238234</v>
      </c>
      <c r="G83" s="26">
        <f t="shared" si="30"/>
        <v>15.341101359898156</v>
      </c>
      <c r="H83" s="3">
        <f t="shared" si="30"/>
        <v>15.352842317813211</v>
      </c>
      <c r="I83" s="3">
        <f t="shared" si="30"/>
        <v>15.290870280081561</v>
      </c>
      <c r="J83" s="3">
        <f t="shared" si="30"/>
        <v>15.30184186218933</v>
      </c>
      <c r="K83" s="3">
        <f t="shared" si="30"/>
        <v>15.295584141641454</v>
      </c>
      <c r="L83" s="3">
        <f t="shared" si="30"/>
        <v>15.382874891785017</v>
      </c>
      <c r="M83" s="3">
        <f t="shared" si="30"/>
        <v>15.442664465988562</v>
      </c>
      <c r="N83" s="3">
        <f t="shared" si="30"/>
        <v>15.479672393803355</v>
      </c>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row>
    <row r="84" spans="1:44" s="3" customFormat="1" ht="12.75">
      <c r="A84" s="3" t="s">
        <v>77</v>
      </c>
      <c r="B84" s="3">
        <f aca="true" t="shared" si="31" ref="B84:N84">(B52+B59)*4+(B53+B58+B60)*3+(B61+B62+B63+B64+B67+B68+B72)*2+B69+B73+B74</f>
        <v>45.99999999999999</v>
      </c>
      <c r="C84" s="3">
        <f t="shared" si="31"/>
        <v>45.99999999999999</v>
      </c>
      <c r="D84" s="3">
        <f t="shared" si="31"/>
        <v>46</v>
      </c>
      <c r="E84" s="3">
        <f t="shared" si="31"/>
        <v>45.999999999999986</v>
      </c>
      <c r="F84" s="3">
        <f t="shared" si="31"/>
        <v>45.99999999999999</v>
      </c>
      <c r="G84" s="26">
        <f t="shared" si="31"/>
        <v>46.00000000000001</v>
      </c>
      <c r="H84" s="3">
        <f t="shared" si="31"/>
        <v>45.999999999999986</v>
      </c>
      <c r="I84" s="3">
        <f t="shared" si="31"/>
        <v>46</v>
      </c>
      <c r="J84" s="3">
        <f t="shared" si="31"/>
        <v>46</v>
      </c>
      <c r="K84" s="3">
        <f t="shared" si="31"/>
        <v>45.999999999999986</v>
      </c>
      <c r="L84" s="3">
        <f t="shared" si="31"/>
        <v>46</v>
      </c>
      <c r="M84" s="3">
        <f t="shared" si="31"/>
        <v>46.00000000000001</v>
      </c>
      <c r="N84" s="3">
        <f t="shared" si="31"/>
        <v>45.99999999999999</v>
      </c>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row>
    <row r="85" spans="1:44" s="3" customFormat="1" ht="12.75">
      <c r="A85" s="3" t="s">
        <v>129</v>
      </c>
      <c r="B85" s="26">
        <f aca="true" t="shared" si="32" ref="B85:N85">(B60+B63+B67)/(B60+B63+B67+B61)</f>
        <v>0.36842240299518364</v>
      </c>
      <c r="C85" s="26">
        <f t="shared" si="32"/>
        <v>0.3736924686192468</v>
      </c>
      <c r="D85" s="26">
        <f t="shared" si="32"/>
        <v>0.3721571964035229</v>
      </c>
      <c r="E85" s="26">
        <f t="shared" si="32"/>
        <v>0.3708723061796413</v>
      </c>
      <c r="F85" s="26">
        <f t="shared" si="32"/>
        <v>0.3772950459340186</v>
      </c>
      <c r="G85" s="26">
        <f t="shared" si="32"/>
        <v>0.34867899280526427</v>
      </c>
      <c r="H85" s="26">
        <f t="shared" si="32"/>
        <v>0.35817179792646436</v>
      </c>
      <c r="I85" s="26">
        <f t="shared" si="32"/>
        <v>0.34631952438025854</v>
      </c>
      <c r="J85" s="26">
        <f t="shared" si="32"/>
        <v>0.3596161625993223</v>
      </c>
      <c r="K85" s="26">
        <f t="shared" si="32"/>
        <v>0.3411368554722475</v>
      </c>
      <c r="L85" s="26">
        <f t="shared" si="32"/>
        <v>0.36362221224590574</v>
      </c>
      <c r="M85" s="26">
        <f t="shared" si="32"/>
        <v>0.36483224174951745</v>
      </c>
      <c r="N85" s="26">
        <f t="shared" si="32"/>
        <v>0.3795495864021059</v>
      </c>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spans="1:44" s="3" customFormat="1" ht="12.75">
      <c r="A86" s="3" t="s">
        <v>130</v>
      </c>
      <c r="B86" s="26">
        <f aca="true" t="shared" si="33" ref="B86:N86">B61/(B63+B67)</f>
        <v>2.282170083747462</v>
      </c>
      <c r="C86" s="26">
        <f t="shared" si="33"/>
        <v>2.1872581663763255</v>
      </c>
      <c r="D86" s="26">
        <f t="shared" si="33"/>
        <v>2.126032103095668</v>
      </c>
      <c r="E86" s="26">
        <f t="shared" si="33"/>
        <v>2.2065644389095627</v>
      </c>
      <c r="F86" s="26">
        <f t="shared" si="33"/>
        <v>2.197412876491706</v>
      </c>
      <c r="G86" s="26">
        <f t="shared" si="33"/>
        <v>2.480883319616327</v>
      </c>
      <c r="H86" s="26">
        <f t="shared" si="33"/>
        <v>2.5120010495103435</v>
      </c>
      <c r="I86" s="26">
        <f t="shared" si="33"/>
        <v>2.613869246406126</v>
      </c>
      <c r="J86" s="26">
        <f t="shared" si="33"/>
        <v>2.521707324519122</v>
      </c>
      <c r="K86" s="26">
        <f t="shared" si="33"/>
        <v>2.736803890820533</v>
      </c>
      <c r="L86" s="26">
        <f t="shared" si="33"/>
        <v>2.296436356346251</v>
      </c>
      <c r="M86" s="26">
        <f t="shared" si="33"/>
        <v>2.3201671669474466</v>
      </c>
      <c r="N86" s="26">
        <f t="shared" si="33"/>
        <v>2.1862128802476124</v>
      </c>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1:44" s="3" customFormat="1" ht="12.75">
      <c r="A87" s="3" t="s">
        <v>131</v>
      </c>
      <c r="B87" s="26">
        <f aca="true" t="shared" si="34" ref="B87:N87">B61/(B60+B63+B67)</f>
        <v>1.7142757657250092</v>
      </c>
      <c r="C87" s="26">
        <f t="shared" si="34"/>
        <v>1.675997200839748</v>
      </c>
      <c r="D87" s="26">
        <f t="shared" si="34"/>
        <v>1.6870365793376174</v>
      </c>
      <c r="E87" s="26">
        <f t="shared" si="34"/>
        <v>1.6963458401653344</v>
      </c>
      <c r="F87" s="26">
        <f t="shared" si="34"/>
        <v>1.6504456148488102</v>
      </c>
      <c r="G87" s="26">
        <f t="shared" si="34"/>
        <v>1.8679674446532997</v>
      </c>
      <c r="H87" s="26">
        <f t="shared" si="34"/>
        <v>1.791956278493228</v>
      </c>
      <c r="I87" s="26">
        <f t="shared" si="34"/>
        <v>1.887506853070175</v>
      </c>
      <c r="J87" s="26">
        <f t="shared" si="34"/>
        <v>1.7807426473047083</v>
      </c>
      <c r="K87" s="26">
        <f t="shared" si="34"/>
        <v>1.931374854281475</v>
      </c>
      <c r="L87" s="26">
        <f t="shared" si="34"/>
        <v>1.7501070240553203</v>
      </c>
      <c r="M87" s="26">
        <f t="shared" si="34"/>
        <v>1.7409858163976886</v>
      </c>
      <c r="N87" s="26">
        <f t="shared" si="34"/>
        <v>1.634701856691186</v>
      </c>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spans="1:44" s="3" customFormat="1" ht="12.75">
      <c r="A88" s="3" t="s">
        <v>132</v>
      </c>
      <c r="B88" s="26">
        <f aca="true" t="shared" si="35" ref="B88:N88">B61/5</f>
        <v>0.6027305172700907</v>
      </c>
      <c r="C88" s="26">
        <f t="shared" si="35"/>
        <v>0.5989733725522924</v>
      </c>
      <c r="D88" s="26">
        <f t="shared" si="35"/>
        <v>0.6007553897404125</v>
      </c>
      <c r="E88" s="26">
        <f t="shared" si="35"/>
        <v>0.5954932205083137</v>
      </c>
      <c r="F88" s="26">
        <f t="shared" si="35"/>
        <v>0.595615506831068</v>
      </c>
      <c r="G88" s="26">
        <f t="shared" si="35"/>
        <v>0.6280164013153788</v>
      </c>
      <c r="H88" s="26">
        <f t="shared" si="35"/>
        <v>0.6221466905490669</v>
      </c>
      <c r="I88" s="26">
        <f t="shared" si="35"/>
        <v>0.6370786605847606</v>
      </c>
      <c r="J88" s="26">
        <f t="shared" si="35"/>
        <v>0.6123349574559713</v>
      </c>
      <c r="K88" s="26">
        <f t="shared" si="35"/>
        <v>0.6372896313101845</v>
      </c>
      <c r="L88" s="26">
        <f t="shared" si="35"/>
        <v>0.6154003665685093</v>
      </c>
      <c r="M88" s="26">
        <f t="shared" si="35"/>
        <v>0.616744511945315</v>
      </c>
      <c r="N88" s="26">
        <f t="shared" si="35"/>
        <v>0.5876367491664746</v>
      </c>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row>
    <row r="89" spans="1:44" s="3" customFormat="1" ht="12.75">
      <c r="A89" s="3" t="s">
        <v>133</v>
      </c>
      <c r="B89" s="26">
        <f aca="true" t="shared" si="36" ref="B89:N89">B79/B82</f>
        <v>1</v>
      </c>
      <c r="C89" s="26">
        <f t="shared" si="36"/>
        <v>1</v>
      </c>
      <c r="D89" s="26">
        <f t="shared" si="36"/>
        <v>1</v>
      </c>
      <c r="E89" s="26">
        <f t="shared" si="36"/>
        <v>1</v>
      </c>
      <c r="F89" s="26">
        <f t="shared" si="36"/>
        <v>1</v>
      </c>
      <c r="G89" s="26">
        <f t="shared" si="36"/>
        <v>1</v>
      </c>
      <c r="H89" s="26">
        <f t="shared" si="36"/>
        <v>1</v>
      </c>
      <c r="I89" s="26">
        <f t="shared" si="36"/>
        <v>1</v>
      </c>
      <c r="J89" s="26">
        <f t="shared" si="36"/>
        <v>1</v>
      </c>
      <c r="K89" s="26">
        <f t="shared" si="36"/>
        <v>1</v>
      </c>
      <c r="L89" s="26">
        <f t="shared" si="36"/>
        <v>1</v>
      </c>
      <c r="M89" s="26">
        <f t="shared" si="36"/>
        <v>1</v>
      </c>
      <c r="N89" s="26">
        <f t="shared" si="36"/>
        <v>1</v>
      </c>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row>
    <row r="90" spans="1:44" s="3" customFormat="1" ht="12.75">
      <c r="A90"/>
      <c r="B90" s="14"/>
      <c r="C90" s="14"/>
      <c r="D90" s="14"/>
      <c r="E90" s="14"/>
      <c r="F90" s="14"/>
      <c r="G90" s="14"/>
      <c r="H90" s="14"/>
      <c r="I90" s="14"/>
      <c r="J90" s="14"/>
      <c r="K90" s="14"/>
      <c r="L90" s="14"/>
      <c r="M90" s="14"/>
      <c r="N90" s="14"/>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row>
    <row r="91" spans="1:44" s="3" customFormat="1" ht="12.75">
      <c r="A91" t="s">
        <v>19</v>
      </c>
      <c r="B91" s="26">
        <f aca="true" t="shared" si="37" ref="B91:N91">(B52+B55+B59+B60+B61+B62+B63+B67)-13</f>
        <v>0.06246371494094305</v>
      </c>
      <c r="C91" s="26">
        <f t="shared" si="37"/>
        <v>0.07843363513669033</v>
      </c>
      <c r="D91" s="26">
        <f t="shared" si="37"/>
        <v>0.06994195132937087</v>
      </c>
      <c r="E91" s="26">
        <f t="shared" si="37"/>
        <v>0.04398527935569163</v>
      </c>
      <c r="F91" s="26">
        <f t="shared" si="37"/>
        <v>0.0903198140503676</v>
      </c>
      <c r="G91" s="26">
        <f t="shared" si="37"/>
        <v>0.04468473166445719</v>
      </c>
      <c r="H91" s="26">
        <f t="shared" si="37"/>
        <v>0.0826851630809422</v>
      </c>
      <c r="I91" s="26">
        <f t="shared" si="37"/>
        <v>0.11993040078605866</v>
      </c>
      <c r="J91" s="26">
        <f t="shared" si="37"/>
        <v>0.0578315704460266</v>
      </c>
      <c r="K91" s="26">
        <f t="shared" si="37"/>
        <v>0.06492730970880167</v>
      </c>
      <c r="L91" s="26">
        <f t="shared" si="37"/>
        <v>0.058799109867388566</v>
      </c>
      <c r="M91" s="26">
        <f t="shared" si="37"/>
        <v>0.06787518003474347</v>
      </c>
      <c r="N91" s="26">
        <f t="shared" si="37"/>
        <v>0.027046543192499328</v>
      </c>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row>
    <row r="92" spans="1:44" s="3" customFormat="1" ht="12.75">
      <c r="A92" t="s">
        <v>20</v>
      </c>
      <c r="B92" s="26">
        <f aca="true" t="shared" si="38" ref="B92:N92">(B52-4)/4</f>
        <v>0.7166752076573644</v>
      </c>
      <c r="C92" s="26">
        <f t="shared" si="38"/>
        <v>0.712740884320147</v>
      </c>
      <c r="D92" s="26">
        <f t="shared" si="38"/>
        <v>0.7230589197291388</v>
      </c>
      <c r="E92" s="26">
        <f t="shared" si="38"/>
        <v>0.7317550564502533</v>
      </c>
      <c r="F92" s="26">
        <f t="shared" si="38"/>
        <v>0.7427722480220513</v>
      </c>
      <c r="G92" s="26">
        <f t="shared" si="38"/>
        <v>0.7962179255823725</v>
      </c>
      <c r="H92" s="26">
        <f t="shared" si="38"/>
        <v>0.764543781144043</v>
      </c>
      <c r="I92" s="26">
        <f t="shared" si="38"/>
        <v>0.7918427933643604</v>
      </c>
      <c r="J92" s="26">
        <f t="shared" si="38"/>
        <v>0.7760936062794779</v>
      </c>
      <c r="K92" s="26">
        <f t="shared" si="38"/>
        <v>0.7853969604571296</v>
      </c>
      <c r="L92" s="26">
        <f t="shared" si="38"/>
        <v>0.7680449704567005</v>
      </c>
      <c r="M92" s="26">
        <f t="shared" si="38"/>
        <v>0.7453442239859507</v>
      </c>
      <c r="N92" s="26">
        <f t="shared" si="38"/>
        <v>0.7097758392701508</v>
      </c>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row>
    <row r="93" spans="1:44" s="3" customFormat="1" ht="12.75">
      <c r="A93" s="3" t="s">
        <v>21</v>
      </c>
      <c r="B93" s="26">
        <f aca="true" t="shared" si="39" ref="B93:N93">(8-B52)/4</f>
        <v>0.28332479234263563</v>
      </c>
      <c r="C93" s="26">
        <f t="shared" si="39"/>
        <v>0.28725911567985296</v>
      </c>
      <c r="D93" s="26">
        <f t="shared" si="39"/>
        <v>0.2769410802708612</v>
      </c>
      <c r="E93" s="26">
        <f t="shared" si="39"/>
        <v>0.2682449435497467</v>
      </c>
      <c r="F93" s="26">
        <f t="shared" si="39"/>
        <v>0.25722775197794867</v>
      </c>
      <c r="G93" s="26">
        <f t="shared" si="39"/>
        <v>0.20378207441762752</v>
      </c>
      <c r="H93" s="26">
        <f t="shared" si="39"/>
        <v>0.23545621885595702</v>
      </c>
      <c r="I93" s="26">
        <f t="shared" si="39"/>
        <v>0.20815720663563964</v>
      </c>
      <c r="J93" s="26">
        <f t="shared" si="39"/>
        <v>0.22390639372052212</v>
      </c>
      <c r="K93" s="26">
        <f t="shared" si="39"/>
        <v>0.2146030395428704</v>
      </c>
      <c r="L93" s="26">
        <f t="shared" si="39"/>
        <v>0.2319550295432995</v>
      </c>
      <c r="M93" s="26">
        <f t="shared" si="39"/>
        <v>0.2546557760140493</v>
      </c>
      <c r="N93" s="26">
        <f t="shared" si="39"/>
        <v>0.29022416072984925</v>
      </c>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row>
    <row r="94" spans="1:44" s="3" customFormat="1" ht="12.75">
      <c r="A94" s="3" t="s">
        <v>22</v>
      </c>
      <c r="B94" s="26">
        <f aca="true" t="shared" si="40" ref="B94:N94">(B52+B55-8)/2</f>
        <v>0.02716064767600468</v>
      </c>
      <c r="C94" s="26">
        <f t="shared" si="40"/>
        <v>0.03097721735045411</v>
      </c>
      <c r="D94" s="26">
        <f t="shared" si="40"/>
        <v>0.027127822658788325</v>
      </c>
      <c r="E94" s="26">
        <f t="shared" si="40"/>
        <v>0.03592577985190637</v>
      </c>
      <c r="F94" s="26">
        <f t="shared" si="40"/>
        <v>0.03407648380462902</v>
      </c>
      <c r="G94" s="26">
        <f t="shared" si="40"/>
        <v>0.033280441093192614</v>
      </c>
      <c r="H94" s="26">
        <f t="shared" si="40"/>
        <v>0.028421112155747608</v>
      </c>
      <c r="I94" s="26">
        <f t="shared" si="40"/>
        <v>0.03582661223095229</v>
      </c>
      <c r="J94" s="26">
        <f t="shared" si="40"/>
        <v>0.04491677057400256</v>
      </c>
      <c r="K94" s="26">
        <f t="shared" si="40"/>
        <v>0.02972151078758767</v>
      </c>
      <c r="L94" s="26">
        <f t="shared" si="40"/>
        <v>0.0213694374556761</v>
      </c>
      <c r="M94" s="26">
        <f t="shared" si="40"/>
        <v>0.019135826642694198</v>
      </c>
      <c r="N94" s="26">
        <f t="shared" si="40"/>
        <v>0.032373742922747084</v>
      </c>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row>
    <row r="95" spans="1:44" s="3" customFormat="1" ht="12.75">
      <c r="A95" s="3" t="s">
        <v>23</v>
      </c>
      <c r="B95" s="26">
        <f aca="true" t="shared" si="41" ref="B95:N95">3-B64-B68-B72-B69-B73-B74-B91</f>
        <v>0.5405619300232971</v>
      </c>
      <c r="C95" s="26">
        <f t="shared" si="41"/>
        <v>0.5108221490231568</v>
      </c>
      <c r="D95" s="26">
        <f t="shared" si="41"/>
        <v>0.5018627527508797</v>
      </c>
      <c r="E95" s="26">
        <f t="shared" si="41"/>
        <v>0.5592264040182723</v>
      </c>
      <c r="F95" s="26">
        <f t="shared" si="41"/>
        <v>0.6422317761765987</v>
      </c>
      <c r="G95" s="26">
        <f t="shared" si="41"/>
        <v>0.6588986401018442</v>
      </c>
      <c r="H95" s="26">
        <f t="shared" si="41"/>
        <v>0.6471576821867877</v>
      </c>
      <c r="I95" s="26">
        <f t="shared" si="41"/>
        <v>0.7091297199184371</v>
      </c>
      <c r="J95" s="26">
        <f t="shared" si="41"/>
        <v>0.6981581378106709</v>
      </c>
      <c r="K95" s="26">
        <f t="shared" si="41"/>
        <v>0.7044158583585463</v>
      </c>
      <c r="L95" s="26">
        <f t="shared" si="41"/>
        <v>0.6171251082149851</v>
      </c>
      <c r="M95" s="26">
        <f t="shared" si="41"/>
        <v>0.5573355340114368</v>
      </c>
      <c r="N95" s="26">
        <f t="shared" si="41"/>
        <v>0.5203276061966446</v>
      </c>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row>
    <row r="96" spans="1:44" s="3" customFormat="1" ht="12.75">
      <c r="A96" s="3" t="s">
        <v>24</v>
      </c>
      <c r="B96" s="26">
        <f aca="true" t="shared" si="42" ref="B96:N96">B64+B68+B72+B69+B73+B91-2</f>
        <v>0.28958758290661546</v>
      </c>
      <c r="C96" s="26">
        <f t="shared" si="42"/>
        <v>0.31177490942473085</v>
      </c>
      <c r="D96" s="26">
        <f t="shared" si="42"/>
        <v>0.3195687662222464</v>
      </c>
      <c r="E96" s="26">
        <f t="shared" si="42"/>
        <v>0.27558731689036</v>
      </c>
      <c r="F96" s="26">
        <f t="shared" si="42"/>
        <v>0.22606561992026641</v>
      </c>
      <c r="G96" s="26">
        <f t="shared" si="42"/>
        <v>0.23050432927981435</v>
      </c>
      <c r="H96" s="26">
        <f t="shared" si="42"/>
        <v>0.24365966714511123</v>
      </c>
      <c r="I96" s="26">
        <f t="shared" si="42"/>
        <v>0.1854844257690096</v>
      </c>
      <c r="J96" s="26">
        <f t="shared" si="42"/>
        <v>0.18396359366062454</v>
      </c>
      <c r="K96" s="26">
        <f t="shared" si="42"/>
        <v>0.19663042130879838</v>
      </c>
      <c r="L96" s="26">
        <f t="shared" si="42"/>
        <v>0.2573550709024248</v>
      </c>
      <c r="M96" s="26">
        <f t="shared" si="42"/>
        <v>0.31265173836507154</v>
      </c>
      <c r="N96" s="26">
        <f t="shared" si="42"/>
        <v>0.31248542906764243</v>
      </c>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row>
    <row r="97" spans="1:44" s="3" customFormat="1" ht="12.75">
      <c r="A97" s="3" t="s">
        <v>25</v>
      </c>
      <c r="B97" s="26">
        <f aca="true" t="shared" si="43" ref="B97:N97">(2-B64-B68-B72-B91)/2</f>
        <v>0.05024388614774333</v>
      </c>
      <c r="C97" s="26">
        <f t="shared" si="43"/>
        <v>0.05719639002930221</v>
      </c>
      <c r="D97" s="26">
        <f t="shared" si="43"/>
        <v>0.050183976478124226</v>
      </c>
      <c r="E97" s="26">
        <f t="shared" si="43"/>
        <v>0.06654892344627661</v>
      </c>
      <c r="F97" s="26">
        <f t="shared" si="43"/>
        <v>0.06282301343376284</v>
      </c>
      <c r="G97" s="26">
        <f t="shared" si="43"/>
        <v>0.06137945930979083</v>
      </c>
      <c r="H97" s="26">
        <f t="shared" si="43"/>
        <v>0.052542921164324685</v>
      </c>
      <c r="I97" s="26">
        <f t="shared" si="43"/>
        <v>0.0659927496079068</v>
      </c>
      <c r="J97" s="26">
        <f t="shared" si="43"/>
        <v>0.08856874903218515</v>
      </c>
      <c r="K97" s="26">
        <f t="shared" si="43"/>
        <v>0.0549118018708904</v>
      </c>
      <c r="L97" s="26">
        <f t="shared" si="43"/>
        <v>0.039644109074712386</v>
      </c>
      <c r="M97" s="26">
        <f t="shared" si="43"/>
        <v>0.03553963480971856</v>
      </c>
      <c r="N97" s="26">
        <f t="shared" si="43"/>
        <v>0.05973386360803501</v>
      </c>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row>
    <row r="98" spans="1:44" s="3" customFormat="1" ht="12.75">
      <c r="A98" s="3" t="s">
        <v>26</v>
      </c>
      <c r="B98" s="26">
        <f aca="true" t="shared" si="44" ref="B98:N98">(B64+B68+B72)/2</f>
        <v>0.9185242563817851</v>
      </c>
      <c r="C98" s="26">
        <f t="shared" si="44"/>
        <v>0.9035867924023526</v>
      </c>
      <c r="D98" s="26">
        <f t="shared" si="44"/>
        <v>0.9148450478571903</v>
      </c>
      <c r="E98" s="26">
        <f t="shared" si="44"/>
        <v>0.9114584368758776</v>
      </c>
      <c r="F98" s="26">
        <f t="shared" si="44"/>
        <v>0.8920170795410534</v>
      </c>
      <c r="G98" s="26">
        <f t="shared" si="44"/>
        <v>0.9162781748579806</v>
      </c>
      <c r="H98" s="26">
        <f t="shared" si="44"/>
        <v>0.9061144972952042</v>
      </c>
      <c r="I98" s="26">
        <f t="shared" si="44"/>
        <v>0.8740420499990639</v>
      </c>
      <c r="J98" s="26">
        <f t="shared" si="44"/>
        <v>0.8825154657448016</v>
      </c>
      <c r="K98" s="26">
        <f t="shared" si="44"/>
        <v>0.9126245432747088</v>
      </c>
      <c r="L98" s="26">
        <f t="shared" si="44"/>
        <v>0.9309563359915933</v>
      </c>
      <c r="M98" s="26">
        <f t="shared" si="44"/>
        <v>0.9305227751729097</v>
      </c>
      <c r="N98" s="26">
        <f t="shared" si="44"/>
        <v>0.9267428647957153</v>
      </c>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row>
    <row r="99" spans="1:44" s="3" customFormat="1" ht="12.75">
      <c r="A99" s="3" t="s">
        <v>27</v>
      </c>
      <c r="B99" s="26">
        <f aca="true" t="shared" si="45" ref="B99:N99">B74</f>
        <v>0.16985048707008735</v>
      </c>
      <c r="C99" s="26">
        <f t="shared" si="45"/>
        <v>0.1774029415521121</v>
      </c>
      <c r="D99" s="26">
        <f t="shared" si="45"/>
        <v>0.1785684810268742</v>
      </c>
      <c r="E99" s="26">
        <f t="shared" si="45"/>
        <v>0.1651862790913677</v>
      </c>
      <c r="F99" s="26">
        <f t="shared" si="45"/>
        <v>0.13170260390313504</v>
      </c>
      <c r="G99" s="26">
        <f t="shared" si="45"/>
        <v>0.11059703061834136</v>
      </c>
      <c r="H99" s="26">
        <f t="shared" si="45"/>
        <v>0.10918265066810108</v>
      </c>
      <c r="I99" s="26">
        <f t="shared" si="45"/>
        <v>0.1053858543125534</v>
      </c>
      <c r="J99" s="26">
        <f t="shared" si="45"/>
        <v>0.11787826852870453</v>
      </c>
      <c r="K99" s="26">
        <f t="shared" si="45"/>
        <v>0.09895372033265555</v>
      </c>
      <c r="L99" s="26">
        <f t="shared" si="45"/>
        <v>0.12551982088259012</v>
      </c>
      <c r="M99" s="26">
        <f t="shared" si="45"/>
        <v>0.1300127276234917</v>
      </c>
      <c r="N99" s="26">
        <f t="shared" si="45"/>
        <v>0.1671869647357129</v>
      </c>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row>
    <row r="100" spans="1:44" s="3" customFormat="1" ht="12.75">
      <c r="A100" s="3" t="s">
        <v>28</v>
      </c>
      <c r="B100" s="26">
        <f aca="true" t="shared" si="46" ref="B100:N100">(27/256)*(B95*B92*B38)/(B96*B93)</f>
        <v>0.3889360104319889</v>
      </c>
      <c r="C100" s="26">
        <f t="shared" si="46"/>
        <v>0.3331434110172783</v>
      </c>
      <c r="D100" s="26">
        <f t="shared" si="46"/>
        <v>0.31914430951656186</v>
      </c>
      <c r="E100" s="26">
        <f t="shared" si="46"/>
        <v>0.43495337140384893</v>
      </c>
      <c r="F100" s="26">
        <f t="shared" si="46"/>
        <v>0.6246778587324727</v>
      </c>
      <c r="G100" s="26">
        <f t="shared" si="46"/>
        <v>0.8610862855923209</v>
      </c>
      <c r="H100" s="26">
        <f t="shared" si="46"/>
        <v>0.694012025381185</v>
      </c>
      <c r="I100" s="26">
        <f t="shared" si="46"/>
        <v>1.2071584696650224</v>
      </c>
      <c r="J100" s="26">
        <f t="shared" si="46"/>
        <v>1.0016835152535097</v>
      </c>
      <c r="K100" s="26">
        <f t="shared" si="46"/>
        <v>0.9886933266697675</v>
      </c>
      <c r="L100" s="26">
        <f t="shared" si="46"/>
        <v>0.6431442051713157</v>
      </c>
      <c r="M100" s="26">
        <f t="shared" si="46"/>
        <v>0.4116087906526869</v>
      </c>
      <c r="N100" s="26">
        <f t="shared" si="46"/>
        <v>0.30708922994716614</v>
      </c>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row>
    <row r="101" spans="2:44" s="3" customFormat="1" ht="12.7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row>
    <row r="102" spans="1:44" s="3" customFormat="1" ht="12.75">
      <c r="A102" s="10" t="s">
        <v>29</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spans="1:44" s="3" customFormat="1" ht="12.75">
      <c r="A103" s="3" t="s">
        <v>30</v>
      </c>
      <c r="B103" s="26">
        <v>2</v>
      </c>
      <c r="C103" s="26">
        <v>2</v>
      </c>
      <c r="D103" s="26">
        <v>2</v>
      </c>
      <c r="E103" s="26">
        <v>2</v>
      </c>
      <c r="F103" s="26">
        <v>2</v>
      </c>
      <c r="G103" s="26">
        <v>2</v>
      </c>
      <c r="H103" s="26">
        <v>2</v>
      </c>
      <c r="I103" s="26">
        <v>2</v>
      </c>
      <c r="J103" s="26">
        <v>2</v>
      </c>
      <c r="K103" s="26">
        <v>2</v>
      </c>
      <c r="L103" s="26">
        <v>2</v>
      </c>
      <c r="M103" s="26">
        <v>2</v>
      </c>
      <c r="N103" s="26">
        <v>2</v>
      </c>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4" spans="1:44" s="9" customFormat="1" ht="12.75">
      <c r="A104" s="28" t="s">
        <v>31</v>
      </c>
      <c r="B104" s="29">
        <f aca="true" t="shared" si="47" ref="B104:N104">((-76.95+B103*0.79+39.4*B$96+22.4*B$99+(41.5-2.89*B103)*B$94)/(-0.065-0.0083144*LN(B$100)))-273.15</f>
        <v>762.4948309908501</v>
      </c>
      <c r="C104" s="29">
        <f t="shared" si="47"/>
        <v>765.2449207416836</v>
      </c>
      <c r="D104" s="29">
        <f t="shared" si="47"/>
        <v>768.3970045324373</v>
      </c>
      <c r="E104" s="29">
        <f t="shared" si="47"/>
        <v>751.8214145743078</v>
      </c>
      <c r="F104" s="29">
        <f t="shared" si="47"/>
        <v>746.6206695177868</v>
      </c>
      <c r="G104" s="29">
        <f t="shared" si="47"/>
        <v>709.0554978726362</v>
      </c>
      <c r="H104" s="29">
        <f t="shared" si="47"/>
        <v>732.4320891123201</v>
      </c>
      <c r="I104" s="29">
        <f t="shared" si="47"/>
        <v>694.644026608688</v>
      </c>
      <c r="J104" s="29">
        <f t="shared" si="47"/>
        <v>709.3606630703591</v>
      </c>
      <c r="K104" s="29">
        <f t="shared" si="47"/>
        <v>718.2080363302093</v>
      </c>
      <c r="L104" s="29">
        <f t="shared" si="47"/>
        <v>732.1510194625338</v>
      </c>
      <c r="M104" s="29">
        <f t="shared" si="47"/>
        <v>758.7185267395872</v>
      </c>
      <c r="N104" s="29">
        <f t="shared" si="47"/>
        <v>780.7211195847095</v>
      </c>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row>
    <row r="105" spans="1:44" s="9" customFormat="1" ht="12.75">
      <c r="A105" s="28" t="s">
        <v>32</v>
      </c>
      <c r="B105" s="29">
        <f aca="true" t="shared" si="48" ref="B105:N105">((78.44+3-33.6*B$97-(66.8-2.92*B103)*B$94+78.5*B$93+9.4*B$96)/(0.0721-0.0083144*LN((27*B$97*B$92*B$39)/(64*B$98*B$93*B$38))))-273.15</f>
        <v>684.995175449218</v>
      </c>
      <c r="C105" s="29">
        <f t="shared" si="48"/>
        <v>701.557797864465</v>
      </c>
      <c r="D105" s="29">
        <f t="shared" si="48"/>
        <v>706.1349649334845</v>
      </c>
      <c r="E105" s="29">
        <f t="shared" si="48"/>
        <v>709.6110902811246</v>
      </c>
      <c r="F105" s="29">
        <f t="shared" si="48"/>
        <v>708.4400003132172</v>
      </c>
      <c r="G105" s="29">
        <f t="shared" si="48"/>
        <v>681.6432979506409</v>
      </c>
      <c r="H105" s="29">
        <f t="shared" si="48"/>
        <v>678.5205033860481</v>
      </c>
      <c r="I105" s="29">
        <f t="shared" si="48"/>
        <v>663.5335723903486</v>
      </c>
      <c r="J105" s="29">
        <f t="shared" si="48"/>
        <v>708.5129890021389</v>
      </c>
      <c r="K105" s="29">
        <f t="shared" si="48"/>
        <v>686.8777443815438</v>
      </c>
      <c r="L105" s="29">
        <f t="shared" si="48"/>
        <v>659.0269143911833</v>
      </c>
      <c r="M105" s="29">
        <f t="shared" si="48"/>
        <v>673.9469680253494</v>
      </c>
      <c r="N105" s="29">
        <f t="shared" si="48"/>
        <v>727.5087867185191</v>
      </c>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row>
    <row r="106" spans="1:44" s="3" customFormat="1" ht="12.75">
      <c r="A106" t="s">
        <v>33</v>
      </c>
      <c r="B106" s="30">
        <f aca="true" t="shared" si="49" ref="B106:N106">(0.677*B103-48.98)/(-0.0429-0.008314*LN(B$38*(B$52-4)/(8-B$52)))-273.15</f>
        <v>707.604426542679</v>
      </c>
      <c r="C106" s="30">
        <f t="shared" si="49"/>
        <v>711.7238497880106</v>
      </c>
      <c r="D106" s="30">
        <f t="shared" si="49"/>
        <v>711.8159518600306</v>
      </c>
      <c r="E106" s="30">
        <f t="shared" si="49"/>
        <v>702.8711314481683</v>
      </c>
      <c r="F106" s="30">
        <f t="shared" si="49"/>
        <v>698.6450788200647</v>
      </c>
      <c r="G106" s="30">
        <f t="shared" si="49"/>
        <v>649.3808065370038</v>
      </c>
      <c r="H106" s="30">
        <f t="shared" si="49"/>
        <v>671.0060023317625</v>
      </c>
      <c r="I106" s="30">
        <f t="shared" si="49"/>
        <v>642.4414097174441</v>
      </c>
      <c r="J106" s="30">
        <f t="shared" si="49"/>
        <v>669.4434308322716</v>
      </c>
      <c r="K106" s="30">
        <f t="shared" si="49"/>
        <v>662.5745441100178</v>
      </c>
      <c r="L106" s="30">
        <f t="shared" si="49"/>
        <v>666.9645803015022</v>
      </c>
      <c r="M106" s="30">
        <f t="shared" si="49"/>
        <v>690.6523973075962</v>
      </c>
      <c r="N106" s="30">
        <f t="shared" si="49"/>
        <v>728.5314569339578</v>
      </c>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row>
    <row r="107" spans="1:44" s="3" customFormat="1" ht="12.75">
      <c r="A107"/>
      <c r="B107" s="30"/>
      <c r="C107" s="30"/>
      <c r="D107" s="30"/>
      <c r="E107" s="30"/>
      <c r="F107" s="30"/>
      <c r="G107" s="30"/>
      <c r="H107" s="30"/>
      <c r="I107" s="30"/>
      <c r="J107" s="30"/>
      <c r="K107" s="30"/>
      <c r="L107" s="30"/>
      <c r="M107" s="30"/>
      <c r="N107" s="30"/>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row>
    <row r="108" spans="1:44" s="3" customFormat="1" ht="12.75">
      <c r="A108" s="3" t="s">
        <v>30</v>
      </c>
      <c r="B108" s="26">
        <v>8</v>
      </c>
      <c r="C108" s="26">
        <v>8</v>
      </c>
      <c r="D108" s="26">
        <v>8</v>
      </c>
      <c r="E108" s="26">
        <v>8</v>
      </c>
      <c r="F108" s="26">
        <v>8</v>
      </c>
      <c r="G108" s="26">
        <v>8</v>
      </c>
      <c r="H108" s="26">
        <v>8</v>
      </c>
      <c r="I108" s="26">
        <v>8</v>
      </c>
      <c r="J108" s="26">
        <v>8</v>
      </c>
      <c r="K108" s="26">
        <v>8</v>
      </c>
      <c r="L108" s="26">
        <v>8</v>
      </c>
      <c r="M108" s="26">
        <v>8</v>
      </c>
      <c r="N108" s="26">
        <v>8</v>
      </c>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row>
    <row r="109" spans="1:44" s="9" customFormat="1" ht="12.75">
      <c r="A109" s="28" t="s">
        <v>31</v>
      </c>
      <c r="B109" s="29">
        <f aca="true" t="shared" si="50" ref="B109:N109">((-76.95+B108*0.79+39.4*B$96+22.4*B$99+(41.5-2.89*B108)*B$94)/(-0.065-0.0083144*LN(B$100)))-273.15</f>
        <v>687.793943867415</v>
      </c>
      <c r="C109" s="29">
        <f t="shared" si="50"/>
        <v>690.0071321538911</v>
      </c>
      <c r="D109" s="29">
        <f t="shared" si="50"/>
        <v>691.4727892617848</v>
      </c>
      <c r="E109" s="29">
        <f t="shared" si="50"/>
        <v>680.9333313462458</v>
      </c>
      <c r="F109" s="29">
        <f t="shared" si="50"/>
        <v>678.7003001119833</v>
      </c>
      <c r="G109" s="29">
        <f t="shared" si="50"/>
        <v>643.7614875946341</v>
      </c>
      <c r="H109" s="29">
        <f t="shared" si="50"/>
        <v>663.8883502463946</v>
      </c>
      <c r="I109" s="29">
        <f t="shared" si="50"/>
        <v>632.7684890643947</v>
      </c>
      <c r="J109" s="29">
        <f t="shared" si="50"/>
        <v>648.4331078890533</v>
      </c>
      <c r="K109" s="29">
        <f t="shared" si="50"/>
        <v>653.1190708702466</v>
      </c>
      <c r="L109" s="29">
        <f t="shared" si="50"/>
        <v>660.9062102826555</v>
      </c>
      <c r="M109" s="29">
        <f t="shared" si="50"/>
        <v>682.2133848960044</v>
      </c>
      <c r="N109" s="29">
        <f t="shared" si="50"/>
        <v>704.9990174216437</v>
      </c>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row>
    <row r="110" spans="1:44" s="9" customFormat="1" ht="12.75">
      <c r="A110" s="28" t="s">
        <v>32</v>
      </c>
      <c r="B110" s="29">
        <f aca="true" t="shared" si="51" ref="B110:N110">((78.44+3-33.6*B$97-(66.8-2.92*B108)*B$94+78.5*B$93+9.4*B$96)/(0.0721-0.0083144*LN((27*B$97*B$92*B$39)/(64*B$98*B$93*B$38))))-273.15</f>
        <v>689.4192121814784</v>
      </c>
      <c r="C110" s="29">
        <f t="shared" si="51"/>
        <v>706.6881675866393</v>
      </c>
      <c r="D110" s="29">
        <f t="shared" si="51"/>
        <v>710.6605993938641</v>
      </c>
      <c r="E110" s="29">
        <f t="shared" si="51"/>
        <v>715.7561220241489</v>
      </c>
      <c r="F110" s="29">
        <f t="shared" si="51"/>
        <v>714.3256419064729</v>
      </c>
      <c r="G110" s="29">
        <f t="shared" si="51"/>
        <v>687.4720058058954</v>
      </c>
      <c r="H110" s="29">
        <f t="shared" si="51"/>
        <v>683.3208816166616</v>
      </c>
      <c r="I110" s="29">
        <f t="shared" si="51"/>
        <v>669.7144376349557</v>
      </c>
      <c r="J110" s="29">
        <f t="shared" si="51"/>
        <v>716.6419633358762</v>
      </c>
      <c r="K110" s="29">
        <f t="shared" si="51"/>
        <v>692.0593142021618</v>
      </c>
      <c r="L110" s="29">
        <f t="shared" si="51"/>
        <v>662.5368204786221</v>
      </c>
      <c r="M110" s="29">
        <f t="shared" si="51"/>
        <v>677.059675705935</v>
      </c>
      <c r="N110" s="29">
        <f t="shared" si="51"/>
        <v>733.0095130297511</v>
      </c>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row>
    <row r="111" spans="1:44" s="3" customFormat="1" ht="12.75">
      <c r="A111" t="s">
        <v>33</v>
      </c>
      <c r="B111" s="30">
        <f aca="true" t="shared" si="52" ref="B111:N111">(0.677*B108-48.98)/(-0.0429-0.008314*LN(B$38*(B$52-4)/(8-B$52)))-273.15</f>
        <v>623.9563250725499</v>
      </c>
      <c r="C111" s="30">
        <f t="shared" si="52"/>
        <v>627.7244045723951</v>
      </c>
      <c r="D111" s="30">
        <f t="shared" si="52"/>
        <v>627.8086513003478</v>
      </c>
      <c r="E111" s="30">
        <f t="shared" si="52"/>
        <v>619.6267305759039</v>
      </c>
      <c r="F111" s="30">
        <f t="shared" si="52"/>
        <v>615.7611160651176</v>
      </c>
      <c r="G111" s="30">
        <f t="shared" si="52"/>
        <v>570.698571284131</v>
      </c>
      <c r="H111" s="30">
        <f t="shared" si="52"/>
        <v>590.479363910068</v>
      </c>
      <c r="I111" s="30">
        <f t="shared" si="52"/>
        <v>564.3510324808032</v>
      </c>
      <c r="J111" s="30">
        <f t="shared" si="52"/>
        <v>589.0500634270583</v>
      </c>
      <c r="K111" s="30">
        <f t="shared" si="52"/>
        <v>582.7670209467268</v>
      </c>
      <c r="L111" s="30">
        <f t="shared" si="52"/>
        <v>586.7826329369386</v>
      </c>
      <c r="M111" s="30">
        <f t="shared" si="52"/>
        <v>608.4501267439658</v>
      </c>
      <c r="N111" s="30">
        <f t="shared" si="52"/>
        <v>643.0984985065077</v>
      </c>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row>
    <row r="112" spans="1:44" s="3" customFormat="1" ht="12.75">
      <c r="A112"/>
      <c r="B112" s="30"/>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row>
    <row r="113" spans="1:44" s="3" customFormat="1" ht="12.75">
      <c r="A113" s="10" t="s">
        <v>34</v>
      </c>
      <c r="B113" s="14"/>
      <c r="C113" s="14"/>
      <c r="D113" s="14"/>
      <c r="E113" s="14"/>
      <c r="F113" s="14"/>
      <c r="G113" s="14"/>
      <c r="H113" s="14"/>
      <c r="I113" s="14"/>
      <c r="J113" s="14"/>
      <c r="K113" s="14"/>
      <c r="L113" s="14"/>
      <c r="M113" s="14"/>
      <c r="N113" s="14"/>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row>
    <row r="114" spans="1:44" s="9" customFormat="1" ht="12.75">
      <c r="A114" s="43" t="s">
        <v>35</v>
      </c>
      <c r="B114" s="27">
        <f aca="true" t="shared" si="53" ref="B114:N114">4.76*B55-3.01</f>
        <v>2.643073412079344</v>
      </c>
      <c r="C114" s="27">
        <f t="shared" si="53"/>
        <v>2.7543166717207264</v>
      </c>
      <c r="D114" s="27">
        <f t="shared" si="53"/>
        <v>2.521215040068861</v>
      </c>
      <c r="E114" s="27">
        <f t="shared" si="53"/>
        <v>2.4393971493773217</v>
      </c>
      <c r="F114" s="27">
        <f t="shared" si="53"/>
        <v>2.21202452348021</v>
      </c>
      <c r="G114" s="27">
        <f t="shared" si="53"/>
        <v>1.1868404961188252</v>
      </c>
      <c r="H114" s="27">
        <f t="shared" si="53"/>
        <v>1.743655394740137</v>
      </c>
      <c r="I114" s="27">
        <f t="shared" si="53"/>
        <v>1.2943825627812426</v>
      </c>
      <c r="J114" s="27">
        <f t="shared" si="53"/>
        <v>1.680785392303247</v>
      </c>
      <c r="K114" s="27">
        <f t="shared" si="53"/>
        <v>1.358990655594087</v>
      </c>
      <c r="L114" s="27">
        <f t="shared" si="53"/>
        <v>1.609860807082458</v>
      </c>
      <c r="M114" s="27">
        <f t="shared" si="53"/>
        <v>2.020819044945946</v>
      </c>
      <c r="N114" s="27">
        <f t="shared" si="53"/>
        <v>2.824066052920881</v>
      </c>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row>
    <row r="115" spans="1:44" s="9" customFormat="1" ht="12.75">
      <c r="A115" s="28" t="s">
        <v>31</v>
      </c>
      <c r="B115" s="29">
        <f aca="true" t="shared" si="54" ref="B115:N115">((-76.95+B114*0.79+39.4*B$96+22.4*B$99+(41.5-2.89*B$114)*B$94)/(-0.065-0.0083144*LN(B$100)))-273.15</f>
        <v>754.4884719295466</v>
      </c>
      <c r="C115" s="29">
        <f t="shared" si="54"/>
        <v>755.7860676958218</v>
      </c>
      <c r="D115" s="29">
        <f t="shared" si="54"/>
        <v>761.7146615416774</v>
      </c>
      <c r="E115" s="29">
        <f t="shared" si="54"/>
        <v>746.630077625102</v>
      </c>
      <c r="F115" s="29">
        <f t="shared" si="54"/>
        <v>744.2205388581427</v>
      </c>
      <c r="G115" s="29">
        <f t="shared" si="54"/>
        <v>717.9045720399816</v>
      </c>
      <c r="H115" s="29">
        <f t="shared" si="54"/>
        <v>735.3605587260904</v>
      </c>
      <c r="I115" s="29">
        <f t="shared" si="54"/>
        <v>701.9207696467777</v>
      </c>
      <c r="J115" s="29">
        <f t="shared" si="54"/>
        <v>712.6021573412129</v>
      </c>
      <c r="K115" s="29">
        <f t="shared" si="54"/>
        <v>725.1618088431343</v>
      </c>
      <c r="L115" s="29">
        <f t="shared" si="54"/>
        <v>736.7835848547007</v>
      </c>
      <c r="M115" s="29">
        <f t="shared" si="54"/>
        <v>758.4530660751476</v>
      </c>
      <c r="N115" s="29">
        <f t="shared" si="54"/>
        <v>770.3211172766447</v>
      </c>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row>
    <row r="116" spans="1:44" s="9" customFormat="1" ht="12.75">
      <c r="A116" s="28" t="s">
        <v>32</v>
      </c>
      <c r="B116" s="29">
        <f aca="true" t="shared" si="55" ref="B116:N116">((78.44+3-33.6*B$97-(66.8-2.92*B114)*B$94+78.5*B$93+9.4*B$96)/(0.0721-0.0083144*LN((27*B$97*B$92*B$39)/(64*B$98*B$93*B$38))))-273.15</f>
        <v>685.4693388486478</v>
      </c>
      <c r="C116" s="29">
        <f t="shared" si="55"/>
        <v>702.2027851000528</v>
      </c>
      <c r="D116" s="29">
        <f t="shared" si="55"/>
        <v>706.5281030579185</v>
      </c>
      <c r="E116" s="29">
        <f t="shared" si="55"/>
        <v>710.0611085195775</v>
      </c>
      <c r="F116" s="29">
        <f t="shared" si="55"/>
        <v>708.6479837055813</v>
      </c>
      <c r="G116" s="29">
        <f t="shared" si="55"/>
        <v>680.8533530859997</v>
      </c>
      <c r="H116" s="29">
        <f t="shared" si="55"/>
        <v>678.3154115422773</v>
      </c>
      <c r="I116" s="29">
        <f t="shared" si="55"/>
        <v>662.8066846747329</v>
      </c>
      <c r="J116" s="29">
        <f t="shared" si="55"/>
        <v>708.080507776652</v>
      </c>
      <c r="K116" s="29">
        <f t="shared" si="55"/>
        <v>686.3241719359258</v>
      </c>
      <c r="L116" s="29">
        <f t="shared" si="55"/>
        <v>658.7986890698216</v>
      </c>
      <c r="M116" s="29">
        <f t="shared" si="55"/>
        <v>673.9577686255337</v>
      </c>
      <c r="N116" s="29">
        <f t="shared" si="55"/>
        <v>728.2642803551016</v>
      </c>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row>
    <row r="117" spans="1:44" s="9" customFormat="1" ht="12.75">
      <c r="A117" s="44" t="s">
        <v>33</v>
      </c>
      <c r="B117" s="45">
        <f aca="true" t="shared" si="56" ref="B117:N117">(0.677*B114-48.98)/(-0.0429-0.008314*LN(B$38*(B$52-4)/(8-B$52)))-273.15</f>
        <v>698.6391148716199</v>
      </c>
      <c r="C117" s="45">
        <f t="shared" si="56"/>
        <v>701.1634861311055</v>
      </c>
      <c r="D117" s="45">
        <f t="shared" si="56"/>
        <v>704.518307105482</v>
      </c>
      <c r="E117" s="45">
        <f t="shared" si="56"/>
        <v>696.7749060406857</v>
      </c>
      <c r="F117" s="45">
        <f t="shared" si="56"/>
        <v>695.7161733688531</v>
      </c>
      <c r="G117" s="45">
        <f t="shared" si="56"/>
        <v>660.0443411007517</v>
      </c>
      <c r="H117" s="45">
        <f t="shared" si="56"/>
        <v>674.4464305549479</v>
      </c>
      <c r="I117" s="45">
        <f t="shared" si="56"/>
        <v>651.6250650269715</v>
      </c>
      <c r="J117" s="45">
        <f t="shared" si="56"/>
        <v>673.7205537052176</v>
      </c>
      <c r="K117" s="45">
        <f t="shared" si="56"/>
        <v>671.1007721269447</v>
      </c>
      <c r="L117" s="45">
        <f t="shared" si="56"/>
        <v>672.17826700673</v>
      </c>
      <c r="M117" s="45">
        <f t="shared" si="56"/>
        <v>690.3671685133422</v>
      </c>
      <c r="N117" s="45">
        <f t="shared" si="56"/>
        <v>716.797723460514</v>
      </c>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row>
    <row r="118" spans="1:44" s="3" customFormat="1" ht="12.75">
      <c r="A118"/>
      <c r="B118" s="14"/>
      <c r="C118" s="14"/>
      <c r="D118" s="14"/>
      <c r="E118" s="14"/>
      <c r="F118" s="14"/>
      <c r="G118" s="14"/>
      <c r="H118" s="14"/>
      <c r="I118" s="14"/>
      <c r="J118" s="14"/>
      <c r="K118" s="14"/>
      <c r="L118" s="14"/>
      <c r="M118" s="14"/>
      <c r="N118" s="14"/>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row>
    <row r="119" spans="1:44" s="3" customFormat="1" ht="12.75">
      <c r="A119" s="56" t="s">
        <v>155</v>
      </c>
      <c r="B119" s="50"/>
      <c r="C119" s="50"/>
      <c r="D119" s="50"/>
      <c r="E119" s="50"/>
      <c r="F119" s="50"/>
      <c r="G119" s="50"/>
      <c r="H119" s="50"/>
      <c r="I119" s="50"/>
      <c r="J119" s="50"/>
      <c r="K119" s="50"/>
      <c r="L119" s="50"/>
      <c r="M119" s="50"/>
      <c r="N119" s="50"/>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row>
    <row r="120" spans="1:44" s="9" customFormat="1" ht="12.75">
      <c r="A120" s="51" t="str">
        <f aca="true" t="shared" si="57" ref="A120:N120">A179</f>
        <v>T (C) HB1*</v>
      </c>
      <c r="B120" s="29">
        <f t="shared" si="57"/>
        <v>770.3197579297477</v>
      </c>
      <c r="C120" s="29">
        <f t="shared" si="57"/>
        <v>772.4197992254243</v>
      </c>
      <c r="D120" s="29">
        <f t="shared" si="57"/>
        <v>780.3624082751347</v>
      </c>
      <c r="E120" s="29">
        <f t="shared" si="57"/>
        <v>758.8810972894822</v>
      </c>
      <c r="F120" s="29">
        <f t="shared" si="57"/>
        <v>754.9101181319328</v>
      </c>
      <c r="G120" s="29">
        <f t="shared" si="57"/>
        <v>722.2437765633606</v>
      </c>
      <c r="H120" s="29">
        <f t="shared" si="57"/>
        <v>743.5864452413485</v>
      </c>
      <c r="I120" s="29">
        <f t="shared" si="57"/>
        <v>704.1627470410036</v>
      </c>
      <c r="J120" s="29">
        <f t="shared" si="57"/>
        <v>716.2524275397367</v>
      </c>
      <c r="K120" s="29">
        <f t="shared" si="57"/>
        <v>730.7186761009096</v>
      </c>
      <c r="L120" s="29">
        <f t="shared" si="57"/>
        <v>745.5305621950447</v>
      </c>
      <c r="M120" s="29">
        <f t="shared" si="57"/>
        <v>774.7295133118363</v>
      </c>
      <c r="N120" s="29">
        <f t="shared" si="57"/>
        <v>792.4980214636865</v>
      </c>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row>
    <row r="121" spans="1:44" s="47" customFormat="1" ht="12.75">
      <c r="A121" s="52" t="str">
        <f aca="true" t="shared" si="58" ref="A121:N121">A180</f>
        <v>    P(Kb) HB1*</v>
      </c>
      <c r="B121" s="46">
        <f t="shared" si="58"/>
        <v>1.371326571395456</v>
      </c>
      <c r="C121" s="46">
        <f t="shared" si="58"/>
        <v>1.4276130524945274</v>
      </c>
      <c r="D121" s="46">
        <f t="shared" si="58"/>
        <v>1.0663967246089554</v>
      </c>
      <c r="E121" s="46">
        <f t="shared" si="58"/>
        <v>1.4024026407792287</v>
      </c>
      <c r="F121" s="46">
        <f t="shared" si="58"/>
        <v>1.267686164316342</v>
      </c>
      <c r="G121" s="27">
        <f t="shared" si="58"/>
        <v>0.7881008995943406</v>
      </c>
      <c r="H121" s="46">
        <f t="shared" si="58"/>
        <v>1.0235863140539332</v>
      </c>
      <c r="I121" s="46">
        <f t="shared" si="58"/>
        <v>1.0769804352602113</v>
      </c>
      <c r="J121" s="46">
        <f t="shared" si="58"/>
        <v>1.3213148045580785</v>
      </c>
      <c r="K121" s="46">
        <f t="shared" si="58"/>
        <v>0.8467472889484202</v>
      </c>
      <c r="L121" s="46">
        <f t="shared" si="58"/>
        <v>0.8732022238681644</v>
      </c>
      <c r="M121" s="46">
        <f t="shared" si="58"/>
        <v>0.7441378226088882</v>
      </c>
      <c r="N121" s="46">
        <f t="shared" si="58"/>
        <v>1.0662598303071784</v>
      </c>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row>
    <row r="122" spans="1:44" s="8" customFormat="1" ht="12.75">
      <c r="A122" s="53" t="str">
        <f aca="true" t="shared" si="59" ref="A122:N122">A181</f>
        <v>T (C) HB2</v>
      </c>
      <c r="B122" s="33">
        <f t="shared" si="59"/>
        <v>685.4075381935806</v>
      </c>
      <c r="C122" s="33">
        <f t="shared" si="59"/>
        <v>701.9897331011798</v>
      </c>
      <c r="D122" s="33">
        <f t="shared" si="59"/>
        <v>706.3109295557377</v>
      </c>
      <c r="E122" s="33">
        <f t="shared" si="59"/>
        <v>709.7302584791414</v>
      </c>
      <c r="F122" s="33">
        <f t="shared" si="59"/>
        <v>708.3561823870434</v>
      </c>
      <c r="G122" s="61">
        <f t="shared" si="59"/>
        <v>680.8202197941054</v>
      </c>
      <c r="H122" s="33">
        <f t="shared" si="59"/>
        <v>678.2984366674307</v>
      </c>
      <c r="I122" s="33">
        <f t="shared" si="59"/>
        <v>662.8677104099987</v>
      </c>
      <c r="J122" s="33">
        <f t="shared" si="59"/>
        <v>707.7178075877229</v>
      </c>
      <c r="K122" s="33">
        <f t="shared" si="59"/>
        <v>686.261690195336</v>
      </c>
      <c r="L122" s="33">
        <f t="shared" si="59"/>
        <v>658.8463684077072</v>
      </c>
      <c r="M122" s="33">
        <f t="shared" si="59"/>
        <v>673.9612849401706</v>
      </c>
      <c r="N122" s="33">
        <f t="shared" si="59"/>
        <v>727.735995840951</v>
      </c>
      <c r="O122" s="67" t="s">
        <v>36</v>
      </c>
      <c r="P122" s="68"/>
      <c r="Q122" s="69"/>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s="49" customFormat="1" ht="12.75">
      <c r="A123" s="54" t="str">
        <f aca="true" t="shared" si="60" ref="A123:N123">A182</f>
        <v>   P(Kb) HB2</v>
      </c>
      <c r="B123" s="48">
        <f t="shared" si="60"/>
        <v>2.559257668032953</v>
      </c>
      <c r="C123" s="48">
        <f t="shared" si="60"/>
        <v>2.5051510048264256</v>
      </c>
      <c r="D123" s="48">
        <f t="shared" si="60"/>
        <v>2.2332905458366357</v>
      </c>
      <c r="E123" s="48">
        <f t="shared" si="60"/>
        <v>2.116355654127907</v>
      </c>
      <c r="F123" s="48">
        <f t="shared" si="60"/>
        <v>1.9145534859578703</v>
      </c>
      <c r="G123" s="35">
        <f t="shared" si="60"/>
        <v>1.1527334939661824</v>
      </c>
      <c r="H123" s="48">
        <f t="shared" si="60"/>
        <v>1.7224384730337274</v>
      </c>
      <c r="I123" s="48">
        <f t="shared" si="60"/>
        <v>1.3536225554205983</v>
      </c>
      <c r="J123" s="48">
        <f t="shared" si="60"/>
        <v>1.4130762024047103</v>
      </c>
      <c r="K123" s="48">
        <f t="shared" si="60"/>
        <v>1.2866399092917413</v>
      </c>
      <c r="L123" s="48">
        <f t="shared" si="60"/>
        <v>1.6913661295003606</v>
      </c>
      <c r="M123" s="48">
        <f t="shared" si="60"/>
        <v>2.027597030541117</v>
      </c>
      <c r="N123" s="48">
        <f t="shared" si="60"/>
        <v>2.247831769377733</v>
      </c>
      <c r="O123" s="70" t="s">
        <v>37</v>
      </c>
      <c r="Q123" s="71"/>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s="9" customFormat="1" ht="12.75">
      <c r="A124" s="51" t="str">
        <f aca="true" t="shared" si="61" ref="A124:N124">A183</f>
        <v>T (C) BH</v>
      </c>
      <c r="B124" s="29">
        <f t="shared" si="61"/>
        <v>702.0700131167466</v>
      </c>
      <c r="C124" s="29">
        <f t="shared" si="61"/>
        <v>705.1419945931091</v>
      </c>
      <c r="D124" s="29">
        <f t="shared" si="61"/>
        <v>708.97079025383</v>
      </c>
      <c r="E124" s="29">
        <f t="shared" si="61"/>
        <v>699.7562916036146</v>
      </c>
      <c r="F124" s="29">
        <f t="shared" si="61"/>
        <v>698.3981998472153</v>
      </c>
      <c r="G124" s="62">
        <f t="shared" si="61"/>
        <v>659.1047521326369</v>
      </c>
      <c r="H124" s="29">
        <f t="shared" si="61"/>
        <v>674.3962805915323</v>
      </c>
      <c r="I124" s="29">
        <f t="shared" si="61"/>
        <v>650.3072420376757</v>
      </c>
      <c r="J124" s="29">
        <f t="shared" si="61"/>
        <v>673.6075279202482</v>
      </c>
      <c r="K124" s="29">
        <f t="shared" si="61"/>
        <v>670.7953411732583</v>
      </c>
      <c r="L124" s="29">
        <f t="shared" si="61"/>
        <v>671.9384730883957</v>
      </c>
      <c r="M124" s="29">
        <f t="shared" si="61"/>
        <v>692.1687909896518</v>
      </c>
      <c r="N124" s="29">
        <f t="shared" si="61"/>
        <v>724.3217495131968</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row>
    <row r="125" spans="1:44" s="9" customFormat="1" ht="12.75">
      <c r="A125" s="52" t="str">
        <f aca="true" t="shared" si="62" ref="A125:N125">A184</f>
        <v>   P(Kb) BH</v>
      </c>
      <c r="B125" s="46">
        <f t="shared" si="62"/>
        <v>2.3969759433064457</v>
      </c>
      <c r="C125" s="46">
        <f t="shared" si="62"/>
        <v>2.470131955529123</v>
      </c>
      <c r="D125" s="46">
        <f t="shared" si="62"/>
        <v>2.203203703443994</v>
      </c>
      <c r="E125" s="46">
        <f t="shared" si="62"/>
        <v>2.224506592461332</v>
      </c>
      <c r="F125" s="46">
        <f t="shared" si="62"/>
        <v>2.017870671841558</v>
      </c>
      <c r="G125" s="27">
        <f t="shared" si="62"/>
        <v>1.2584898823276158</v>
      </c>
      <c r="H125" s="46">
        <f t="shared" si="62"/>
        <v>1.7473920447963736</v>
      </c>
      <c r="I125" s="46">
        <f t="shared" si="62"/>
        <v>1.3956362412297934</v>
      </c>
      <c r="J125" s="46">
        <f t="shared" si="62"/>
        <v>1.689220850296274</v>
      </c>
      <c r="K125" s="46">
        <f t="shared" si="62"/>
        <v>1.3819532265002725</v>
      </c>
      <c r="L125" s="46">
        <f t="shared" si="62"/>
        <v>1.6278045439181459</v>
      </c>
      <c r="M125" s="46">
        <f t="shared" si="62"/>
        <v>1.8893170534144719</v>
      </c>
      <c r="N125" s="46">
        <f t="shared" si="62"/>
        <v>2.295626602393303</v>
      </c>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row>
    <row r="126" spans="1:44" s="3" customFormat="1" ht="12.75">
      <c r="A126" s="55" t="s">
        <v>156</v>
      </c>
      <c r="B126" s="1" t="s">
        <v>134</v>
      </c>
      <c r="C126" s="1"/>
      <c r="D126" s="1"/>
      <c r="G126" s="63"/>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row>
    <row r="127" spans="1:11" s="26" customFormat="1" ht="12.75">
      <c r="A127" s="37"/>
      <c r="B127" s="1" t="s">
        <v>135</v>
      </c>
      <c r="C127" s="31"/>
      <c r="D127" s="31"/>
      <c r="E127" s="31"/>
      <c r="F127" s="35"/>
      <c r="G127" s="33"/>
      <c r="H127" s="35"/>
      <c r="I127" s="33"/>
      <c r="J127" s="27"/>
      <c r="K127" s="29"/>
    </row>
    <row r="128" spans="1:11" s="26" customFormat="1" ht="12.75">
      <c r="A128" s="37"/>
      <c r="B128" s="1" t="s">
        <v>136</v>
      </c>
      <c r="C128" s="31"/>
      <c r="D128" s="31"/>
      <c r="E128" s="31"/>
      <c r="F128" s="35"/>
      <c r="G128" s="33"/>
      <c r="H128" s="35"/>
      <c r="I128" s="33"/>
      <c r="J128" s="27"/>
      <c r="K128" s="29"/>
    </row>
    <row r="129" spans="1:11" s="26" customFormat="1" ht="12.75">
      <c r="A129" s="37"/>
      <c r="B129" s="32"/>
      <c r="C129" s="31"/>
      <c r="D129" s="31"/>
      <c r="E129" s="31"/>
      <c r="F129" s="35"/>
      <c r="G129" s="33"/>
      <c r="H129" s="35"/>
      <c r="I129" s="33"/>
      <c r="J129" s="27"/>
      <c r="K129" s="29"/>
    </row>
    <row r="130" spans="1:4" s="26" customFormat="1" ht="12.75">
      <c r="A130" s="58" t="s">
        <v>137</v>
      </c>
      <c r="B130" s="27"/>
      <c r="C130" s="29"/>
      <c r="D130" s="29"/>
    </row>
    <row r="131" spans="1:14" s="26" customFormat="1" ht="12.75">
      <c r="A131" s="27" t="s">
        <v>138</v>
      </c>
      <c r="B131" s="29">
        <f aca="true" t="shared" si="63" ref="B131:N131">IF(B59&lt;0.345,1204*B59+545,273*B59+877)</f>
        <v>715.1095214633011</v>
      </c>
      <c r="C131" s="29">
        <f t="shared" si="63"/>
        <v>722.357589885678</v>
      </c>
      <c r="D131" s="29">
        <f t="shared" si="63"/>
        <v>718.4303761847534</v>
      </c>
      <c r="E131" s="29">
        <f t="shared" si="63"/>
        <v>718.1330002374427</v>
      </c>
      <c r="F131" s="29">
        <f t="shared" si="63"/>
        <v>713.2548072306005</v>
      </c>
      <c r="G131" s="29">
        <f t="shared" si="63"/>
        <v>614.1823664873659</v>
      </c>
      <c r="H131" s="29">
        <f t="shared" si="63"/>
        <v>629.0586112592869</v>
      </c>
      <c r="I131" s="29">
        <f t="shared" si="63"/>
        <v>625.1394132938227</v>
      </c>
      <c r="J131" s="29">
        <f t="shared" si="63"/>
        <v>650.8862109366568</v>
      </c>
      <c r="K131" s="29">
        <f t="shared" si="63"/>
        <v>621.8572543364387</v>
      </c>
      <c r="L131" s="29">
        <f t="shared" si="63"/>
        <v>643.25740186085</v>
      </c>
      <c r="M131" s="29">
        <f t="shared" si="63"/>
        <v>645.2994743859718</v>
      </c>
      <c r="N131" s="29">
        <f t="shared" si="63"/>
        <v>715.078817961537</v>
      </c>
    </row>
    <row r="132" spans="1:14" s="26" customFormat="1" ht="12.75">
      <c r="A132" s="27"/>
      <c r="B132" s="29"/>
      <c r="C132" s="29"/>
      <c r="D132" s="29"/>
      <c r="E132" s="29"/>
      <c r="F132" s="29"/>
      <c r="G132" s="29"/>
      <c r="H132" s="29"/>
      <c r="I132" s="29"/>
      <c r="J132" s="29"/>
      <c r="K132" s="29"/>
      <c r="L132" s="29"/>
      <c r="M132" s="29"/>
      <c r="N132" s="29"/>
    </row>
    <row r="133" spans="1:14" s="26" customFormat="1" ht="12.75">
      <c r="A133" s="27"/>
      <c r="B133" s="29"/>
      <c r="C133" s="29"/>
      <c r="D133" s="29"/>
      <c r="E133" s="29"/>
      <c r="F133" s="29"/>
      <c r="G133" s="29"/>
      <c r="H133" s="29"/>
      <c r="I133" s="29"/>
      <c r="J133" s="29"/>
      <c r="K133" s="29"/>
      <c r="L133" s="29"/>
      <c r="M133" s="29"/>
      <c r="N133" s="29"/>
    </row>
    <row r="134" spans="1:14" s="26" customFormat="1" ht="12.75">
      <c r="A134" s="27" t="s">
        <v>38</v>
      </c>
      <c r="B134" s="29"/>
      <c r="C134" s="29"/>
      <c r="D134" s="29"/>
      <c r="E134" s="29"/>
      <c r="F134" s="29"/>
      <c r="G134" s="29"/>
      <c r="H134" s="29"/>
      <c r="I134" s="29"/>
      <c r="J134" s="29"/>
      <c r="K134" s="29"/>
      <c r="L134" s="29"/>
      <c r="M134" s="29"/>
      <c r="N134" s="29"/>
    </row>
    <row r="135" spans="1:14" s="26" customFormat="1" ht="12.75">
      <c r="A135" s="27" t="s">
        <v>39</v>
      </c>
      <c r="B135" s="29"/>
      <c r="C135" s="29"/>
      <c r="D135" s="29"/>
      <c r="E135" s="29"/>
      <c r="F135" s="29"/>
      <c r="G135" s="29"/>
      <c r="H135" s="29"/>
      <c r="I135" s="29"/>
      <c r="J135" s="29"/>
      <c r="K135" s="29"/>
      <c r="L135" s="29"/>
      <c r="M135" s="29"/>
      <c r="N135" s="29"/>
    </row>
    <row r="136" spans="1:44" s="3" customFormat="1" ht="12.75">
      <c r="A136" s="14"/>
      <c r="B136" s="14"/>
      <c r="C136" s="14"/>
      <c r="D136" s="14"/>
      <c r="G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row>
    <row r="137" spans="1:44" s="3" customFormat="1" ht="12.75">
      <c r="A137" s="10" t="s">
        <v>139</v>
      </c>
      <c r="B137"/>
      <c r="C137" s="14"/>
      <c r="D137" s="14"/>
      <c r="G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row>
    <row r="138" spans="1:44" s="3" customFormat="1" ht="12.75">
      <c r="A138" s="10" t="s">
        <v>140</v>
      </c>
      <c r="B138" s="14"/>
      <c r="C138" s="14"/>
      <c r="D138" s="14"/>
      <c r="G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row>
    <row r="139" spans="1:44" s="3" customFormat="1" ht="12.75">
      <c r="A139" t="s">
        <v>141</v>
      </c>
      <c r="B139" s="32">
        <f aca="true" t="shared" si="64" ref="B139:N139">4.76*B$55-3.01-((B115-675)/85)*(0.53*B$55+0.005294*(B115-675))</f>
        <v>1.6609224407607552</v>
      </c>
      <c r="C139" s="32">
        <f t="shared" si="64"/>
        <v>1.7378315653201994</v>
      </c>
      <c r="D139" s="32">
        <f t="shared" si="64"/>
        <v>1.4245928649809911</v>
      </c>
      <c r="E139" s="32">
        <f t="shared" si="64"/>
        <v>1.6085133296367673</v>
      </c>
      <c r="F139" s="32">
        <f t="shared" si="64"/>
        <v>1.4400954462903586</v>
      </c>
      <c r="G139" s="32">
        <f t="shared" si="64"/>
        <v>0.8363191930425782</v>
      </c>
      <c r="H139" s="32">
        <f t="shared" si="64"/>
        <v>1.1408718751450282</v>
      </c>
      <c r="I139" s="32">
        <f t="shared" si="64"/>
        <v>1.097453002363782</v>
      </c>
      <c r="J139" s="32">
        <f t="shared" si="64"/>
        <v>1.3616717411228076</v>
      </c>
      <c r="K139" s="32">
        <f t="shared" si="64"/>
        <v>0.9151944611490048</v>
      </c>
      <c r="L139" s="32">
        <f t="shared" si="64"/>
        <v>0.9982188977103108</v>
      </c>
      <c r="M139" s="32">
        <f t="shared" si="64"/>
        <v>1.0370990893869705</v>
      </c>
      <c r="N139" s="32">
        <f t="shared" si="64"/>
        <v>1.5296934432450706</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row>
    <row r="140" spans="1:44" s="3" customFormat="1" ht="12.75">
      <c r="A140" t="s">
        <v>142</v>
      </c>
      <c r="B140" s="32">
        <f aca="true" t="shared" si="65" ref="B140:N140">4.76*B$55-3.01-((B116-675)/85)*(0.53*B$55+0.005294*(B116-675))</f>
        <v>2.55871966713194</v>
      </c>
      <c r="C140" s="32">
        <f t="shared" si="65"/>
        <v>2.50282317270194</v>
      </c>
      <c r="D140" s="32">
        <f t="shared" si="65"/>
        <v>2.230867041775978</v>
      </c>
      <c r="E140" s="32">
        <f t="shared" si="65"/>
        <v>2.1125557981933523</v>
      </c>
      <c r="F140" s="32">
        <f t="shared" si="65"/>
        <v>1.9113396756217202</v>
      </c>
      <c r="G140" s="32">
        <f t="shared" si="65"/>
        <v>1.1525272508558153</v>
      </c>
      <c r="H140" s="32">
        <f t="shared" si="65"/>
        <v>1.7223257783822812</v>
      </c>
      <c r="I140" s="32">
        <f t="shared" si="65"/>
        <v>1.3538741894648072</v>
      </c>
      <c r="J140" s="32">
        <f t="shared" si="65"/>
        <v>1.409361172697239</v>
      </c>
      <c r="K140" s="32">
        <f t="shared" si="65"/>
        <v>1.2861944271251489</v>
      </c>
      <c r="L140" s="32">
        <f t="shared" si="65"/>
        <v>1.6915585909063378</v>
      </c>
      <c r="M140" s="32">
        <f t="shared" si="65"/>
        <v>2.0276197474928863</v>
      </c>
      <c r="N140" s="32">
        <f t="shared" si="65"/>
        <v>2.2403067800308794</v>
      </c>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row>
    <row r="141" spans="1:44" s="3" customFormat="1" ht="12.75">
      <c r="A141" t="s">
        <v>143</v>
      </c>
      <c r="B141" s="32">
        <f aca="true" t="shared" si="66" ref="B141:N141">4.76*B$55-3.01-((B117-675)/85)*(0.53*B$55+0.005294*(B117-675))</f>
        <v>2.4332180540670363</v>
      </c>
      <c r="C141" s="32">
        <f t="shared" si="66"/>
        <v>2.514125197040189</v>
      </c>
      <c r="D141" s="32">
        <f t="shared" si="66"/>
        <v>2.2530705646824494</v>
      </c>
      <c r="E141" s="32">
        <f t="shared" si="66"/>
        <v>2.254429067588412</v>
      </c>
      <c r="F141" s="32">
        <f t="shared" si="66"/>
        <v>2.0435861120668064</v>
      </c>
      <c r="G141" s="32">
        <f t="shared" si="66"/>
        <v>1.255129795393342</v>
      </c>
      <c r="H141" s="32">
        <f t="shared" si="66"/>
        <v>1.747083376564902</v>
      </c>
      <c r="I141" s="32">
        <f t="shared" si="66"/>
        <v>1.3921510006516389</v>
      </c>
      <c r="J141" s="32">
        <f t="shared" si="66"/>
        <v>1.6885451579587343</v>
      </c>
      <c r="K141" s="32">
        <f t="shared" si="66"/>
        <v>1.3803593754245957</v>
      </c>
      <c r="L141" s="32">
        <f t="shared" si="66"/>
        <v>1.6264412441511897</v>
      </c>
      <c r="M141" s="32">
        <f t="shared" si="66"/>
        <v>1.9048406718237114</v>
      </c>
      <c r="N141" s="32">
        <f t="shared" si="66"/>
        <v>2.3958269676450468</v>
      </c>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row>
    <row r="142" spans="1:44" s="3" customFormat="1" ht="12.75">
      <c r="A142" s="10"/>
      <c r="B142" s="14"/>
      <c r="C142" s="14"/>
      <c r="D142" s="14"/>
      <c r="E142" s="14"/>
      <c r="F142" s="14"/>
      <c r="G142" s="14"/>
      <c r="H142" s="14"/>
      <c r="I142" s="14"/>
      <c r="J142" s="14"/>
      <c r="K142" s="14"/>
      <c r="L142" s="14"/>
      <c r="M142" s="14"/>
      <c r="N142" s="14"/>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row>
    <row r="143" spans="1:44" s="3" customFormat="1" ht="12.75">
      <c r="A143" s="10" t="s">
        <v>144</v>
      </c>
      <c r="B143" s="14"/>
      <c r="C143" s="14"/>
      <c r="D143" s="14"/>
      <c r="E143" s="14"/>
      <c r="F143" s="14"/>
      <c r="G143" s="14"/>
      <c r="H143" s="14"/>
      <c r="I143" s="14"/>
      <c r="J143" s="14"/>
      <c r="K143" s="14"/>
      <c r="L143" s="14"/>
      <c r="M143" s="14"/>
      <c r="N143" s="14"/>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row>
    <row r="144" spans="1:44" s="3" customFormat="1" ht="12.75">
      <c r="A144" s="28" t="s">
        <v>145</v>
      </c>
      <c r="B144" s="29">
        <f aca="true" t="shared" si="67" ref="B144:N144">((-76.95+B139*0.79+39.4*B$96+22.4*B$99+(41.5-2.89*B139)*B$94)/(-0.065-0.0083144*LN(B$100)))-273.15</f>
        <v>766.7163967373202</v>
      </c>
      <c r="C144" s="29">
        <f t="shared" si="67"/>
        <v>768.5324162854889</v>
      </c>
      <c r="D144" s="29">
        <f t="shared" si="67"/>
        <v>775.7741282528492</v>
      </c>
      <c r="E144" s="29">
        <f t="shared" si="67"/>
        <v>756.4467045195385</v>
      </c>
      <c r="F144" s="29">
        <f t="shared" si="67"/>
        <v>752.9588235377786</v>
      </c>
      <c r="G144" s="29">
        <f t="shared" si="67"/>
        <v>721.7190623009349</v>
      </c>
      <c r="H144" s="29">
        <f t="shared" si="67"/>
        <v>742.2467314193921</v>
      </c>
      <c r="I144" s="29">
        <f t="shared" si="67"/>
        <v>703.951623381643</v>
      </c>
      <c r="J144" s="29">
        <f t="shared" si="67"/>
        <v>715.8426264397804</v>
      </c>
      <c r="K144" s="29">
        <f t="shared" si="67"/>
        <v>729.9761813717174</v>
      </c>
      <c r="L144" s="29">
        <f t="shared" si="67"/>
        <v>744.0463033746399</v>
      </c>
      <c r="M144" s="29">
        <f t="shared" si="67"/>
        <v>770.9963385308814</v>
      </c>
      <c r="N144" s="29">
        <f t="shared" si="67"/>
        <v>786.6565531078026</v>
      </c>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row>
    <row r="145" spans="1:44" s="3" customFormat="1" ht="12.75">
      <c r="A145" s="1" t="s">
        <v>146</v>
      </c>
      <c r="B145" s="32">
        <f aca="true" t="shared" si="68" ref="B145:N145">4.76*B$55-3.01-((B144-675)/85)*(0.53*B$55+0.005294*(B144-675))</f>
        <v>1.4399857891811005</v>
      </c>
      <c r="C145" s="32">
        <f t="shared" si="68"/>
        <v>1.5031986954585541</v>
      </c>
      <c r="D145" s="32">
        <f t="shared" si="68"/>
        <v>1.1585486801791864</v>
      </c>
      <c r="E145" s="32">
        <f t="shared" si="68"/>
        <v>1.4448471662668716</v>
      </c>
      <c r="F145" s="32">
        <f t="shared" si="68"/>
        <v>1.3002200321489714</v>
      </c>
      <c r="G145" s="32">
        <f t="shared" si="68"/>
        <v>0.7940563110012469</v>
      </c>
      <c r="H145" s="32">
        <f t="shared" si="68"/>
        <v>1.043262681501807</v>
      </c>
      <c r="I145" s="32">
        <f t="shared" si="68"/>
        <v>1.0789350105578555</v>
      </c>
      <c r="J145" s="32">
        <f t="shared" si="68"/>
        <v>1.3259282226289233</v>
      </c>
      <c r="K145" s="32">
        <f t="shared" si="68"/>
        <v>0.856115666584225</v>
      </c>
      <c r="L145" s="32">
        <f t="shared" si="68"/>
        <v>0.8950874663824325</v>
      </c>
      <c r="M145" s="32">
        <f t="shared" si="68"/>
        <v>0.8142480256028024</v>
      </c>
      <c r="N145" s="32">
        <f t="shared" si="68"/>
        <v>1.1942729089204853</v>
      </c>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row>
    <row r="146" spans="1:44" s="3" customFormat="1" ht="12.75">
      <c r="A146" s="28" t="s">
        <v>147</v>
      </c>
      <c r="B146" s="29">
        <f aca="true" t="shared" si="69" ref="B146:N146">((78.44+3-33.6*B$97-(66.8-2.92*B140)*B$94+78.5*B$93+9.4*B$96)/(0.0721-0.0083144*LN((27*B$97*B$92*B$39)/(64*B$98*B$93*B$38))))-273.15</f>
        <v>685.4071415042894</v>
      </c>
      <c r="C146" s="29">
        <f t="shared" si="69"/>
        <v>701.9877426612712</v>
      </c>
      <c r="D146" s="29">
        <f t="shared" si="69"/>
        <v>706.3091015734891</v>
      </c>
      <c r="E146" s="29">
        <f t="shared" si="69"/>
        <v>709.726366773251</v>
      </c>
      <c r="F146" s="29">
        <f t="shared" si="69"/>
        <v>708.3530298310784</v>
      </c>
      <c r="G146" s="29">
        <f t="shared" si="69"/>
        <v>680.8200194389657</v>
      </c>
      <c r="H146" s="29">
        <f t="shared" si="69"/>
        <v>678.2983465046053</v>
      </c>
      <c r="I146" s="29">
        <f t="shared" si="69"/>
        <v>662.8679696293517</v>
      </c>
      <c r="J146" s="29">
        <f t="shared" si="69"/>
        <v>707.7127743575301</v>
      </c>
      <c r="K146" s="29">
        <f t="shared" si="69"/>
        <v>686.2613054791775</v>
      </c>
      <c r="L146" s="29">
        <f t="shared" si="69"/>
        <v>658.8464809946172</v>
      </c>
      <c r="M146" s="29">
        <f t="shared" si="69"/>
        <v>673.9612967253756</v>
      </c>
      <c r="N146" s="29">
        <f t="shared" si="69"/>
        <v>727.729097023133</v>
      </c>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row>
    <row r="147" spans="1:44" s="3" customFormat="1" ht="12.75">
      <c r="A147" s="1" t="s">
        <v>148</v>
      </c>
      <c r="B147" s="32">
        <f aca="true" t="shared" si="70" ref="B147:N147">4.76*B$55-3.01-((B146-675)/85)*(0.53*B$55+0.005294*(B146-675))</f>
        <v>2.559261119844705</v>
      </c>
      <c r="C147" s="32">
        <f t="shared" si="70"/>
        <v>2.5051727259569736</v>
      </c>
      <c r="D147" s="32">
        <f t="shared" si="70"/>
        <v>2.233310919903695</v>
      </c>
      <c r="E147" s="32">
        <f t="shared" si="70"/>
        <v>2.1164002697422015</v>
      </c>
      <c r="F147" s="32">
        <f t="shared" si="70"/>
        <v>1.9145881493297792</v>
      </c>
      <c r="G147" s="32">
        <f t="shared" si="70"/>
        <v>1.1527347406906339</v>
      </c>
      <c r="H147" s="32">
        <f t="shared" si="70"/>
        <v>1.7224390715207014</v>
      </c>
      <c r="I147" s="32">
        <f t="shared" si="70"/>
        <v>1.353621485563845</v>
      </c>
      <c r="J147" s="32">
        <f t="shared" si="70"/>
        <v>1.4131276410007052</v>
      </c>
      <c r="K147" s="32">
        <f t="shared" si="70"/>
        <v>1.286642650733755</v>
      </c>
      <c r="L147" s="32">
        <f t="shared" si="70"/>
        <v>1.6913656746992978</v>
      </c>
      <c r="M147" s="32">
        <f t="shared" si="70"/>
        <v>2.0275969544008765</v>
      </c>
      <c r="N147" s="32">
        <f t="shared" si="70"/>
        <v>2.2479298075516683</v>
      </c>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row>
    <row r="148" spans="1:44" s="3" customFormat="1" ht="12.75">
      <c r="A148" t="s">
        <v>149</v>
      </c>
      <c r="B148" s="30">
        <f aca="true" t="shared" si="71" ref="B148:N148">(0.677*B141-48.98)/(-0.0429-0.008314*LN(B$38*(B$52-4)/(8-B$52)))-273.15</f>
        <v>701.5647819184638</v>
      </c>
      <c r="C148" s="30">
        <f t="shared" si="71"/>
        <v>704.5261445675532</v>
      </c>
      <c r="D148" s="30">
        <f t="shared" si="71"/>
        <v>708.2726560283494</v>
      </c>
      <c r="E148" s="30">
        <f t="shared" si="71"/>
        <v>699.3411655655207</v>
      </c>
      <c r="F148" s="30">
        <f t="shared" si="71"/>
        <v>698.042980538535</v>
      </c>
      <c r="G148" s="30">
        <f t="shared" si="71"/>
        <v>659.1488153156232</v>
      </c>
      <c r="H148" s="30">
        <f t="shared" si="71"/>
        <v>674.4004232461282</v>
      </c>
      <c r="I148" s="30">
        <f t="shared" si="71"/>
        <v>650.3526026611155</v>
      </c>
      <c r="J148" s="30">
        <f t="shared" si="71"/>
        <v>673.6165814233309</v>
      </c>
      <c r="K148" s="30">
        <f t="shared" si="71"/>
        <v>670.8165413598041</v>
      </c>
      <c r="L148" s="30">
        <f t="shared" si="71"/>
        <v>671.9566917180091</v>
      </c>
      <c r="M148" s="30">
        <f t="shared" si="71"/>
        <v>691.9561161144962</v>
      </c>
      <c r="N148" s="30">
        <f t="shared" si="71"/>
        <v>722.8953454554106</v>
      </c>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row>
    <row r="149" spans="1:44" s="3" customFormat="1" ht="12.75">
      <c r="A149" s="1" t="s">
        <v>150</v>
      </c>
      <c r="B149" s="32">
        <f aca="true" t="shared" si="72" ref="B149:N149">4.76*B$55-3.01-((B148-675)/85)*(0.53*B$55+0.005294*(B148-675))</f>
        <v>2.4024049880721967</v>
      </c>
      <c r="C149" s="32">
        <f t="shared" si="72"/>
        <v>2.477070834160989</v>
      </c>
      <c r="D149" s="32">
        <f t="shared" si="72"/>
        <v>2.2111859023148</v>
      </c>
      <c r="E149" s="32">
        <f t="shared" si="72"/>
        <v>2.228739327652898</v>
      </c>
      <c r="F149" s="32">
        <f t="shared" si="72"/>
        <v>2.0213280151711843</v>
      </c>
      <c r="G149" s="32">
        <f t="shared" si="72"/>
        <v>1.2583347645525058</v>
      </c>
      <c r="H149" s="32">
        <f t="shared" si="72"/>
        <v>1.747366559023835</v>
      </c>
      <c r="I149" s="32">
        <f t="shared" si="72"/>
        <v>1.395519871109302</v>
      </c>
      <c r="J149" s="32">
        <f t="shared" si="72"/>
        <v>1.6891667851440093</v>
      </c>
      <c r="K149" s="32">
        <f t="shared" si="72"/>
        <v>1.381842971425527</v>
      </c>
      <c r="L149" s="32">
        <f t="shared" si="72"/>
        <v>1.6277012170098437</v>
      </c>
      <c r="M149" s="32">
        <f t="shared" si="72"/>
        <v>1.8911706062255054</v>
      </c>
      <c r="N149" s="32">
        <f t="shared" si="72"/>
        <v>2.3151642884911325</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row>
    <row r="150" spans="1:44" s="3" customFormat="1" ht="12.75">
      <c r="A150" s="10" t="s">
        <v>151</v>
      </c>
      <c r="B150" s="14"/>
      <c r="C150" s="14"/>
      <c r="D150" s="14"/>
      <c r="E150" s="14"/>
      <c r="F150" s="14"/>
      <c r="G150" s="14"/>
      <c r="H150" s="14"/>
      <c r="I150" s="14"/>
      <c r="J150" s="14"/>
      <c r="K150" s="14"/>
      <c r="L150" s="14"/>
      <c r="M150" s="14"/>
      <c r="N150" s="14"/>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row>
    <row r="151" spans="1:44" s="3" customFormat="1" ht="12.75">
      <c r="A151" s="28" t="s">
        <v>145</v>
      </c>
      <c r="B151" s="29">
        <f aca="true" t="shared" si="73" ref="B151:N151">((-76.95+B145*0.79+39.4*B$96+22.4*B$99+(41.5-2.89*B145)*B$94)/(-0.065-0.0083144*LN(B$100)))-273.15</f>
        <v>769.4670907158339</v>
      </c>
      <c r="C151" s="29">
        <f t="shared" si="73"/>
        <v>771.4746259952218</v>
      </c>
      <c r="D151" s="29">
        <f t="shared" si="73"/>
        <v>779.1850016100492</v>
      </c>
      <c r="E151" s="29">
        <f t="shared" si="73"/>
        <v>758.3803679546357</v>
      </c>
      <c r="F151" s="29">
        <f t="shared" si="73"/>
        <v>754.5422218376574</v>
      </c>
      <c r="G151" s="29">
        <f t="shared" si="73"/>
        <v>722.1789811433323</v>
      </c>
      <c r="H151" s="29">
        <f t="shared" si="73"/>
        <v>743.3618145993912</v>
      </c>
      <c r="I151" s="29">
        <f t="shared" si="73"/>
        <v>704.1425918311819</v>
      </c>
      <c r="J151" s="29">
        <f t="shared" si="73"/>
        <v>716.2055873056821</v>
      </c>
      <c r="K151" s="29">
        <f t="shared" si="73"/>
        <v>730.6170776415245</v>
      </c>
      <c r="L151" s="29">
        <f t="shared" si="73"/>
        <v>745.2708998988737</v>
      </c>
      <c r="M151" s="29">
        <f t="shared" si="73"/>
        <v>773.8378805716815</v>
      </c>
      <c r="N151" s="29">
        <f t="shared" si="73"/>
        <v>790.8896777690885</v>
      </c>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row>
    <row r="152" spans="1:44" s="3" customFormat="1" ht="12.75">
      <c r="A152" s="1" t="s">
        <v>146</v>
      </c>
      <c r="B152" s="32">
        <f aca="true" t="shared" si="74" ref="B152:N152">4.76*B$55-3.01-((B151-675)/85)*(0.53*B$55+0.005294*(B151-675))</f>
        <v>1.3877195542386027</v>
      </c>
      <c r="C152" s="32">
        <f t="shared" si="74"/>
        <v>1.4461640482432143</v>
      </c>
      <c r="D152" s="32">
        <f t="shared" si="74"/>
        <v>1.0902941261803374</v>
      </c>
      <c r="E152" s="32">
        <f t="shared" si="74"/>
        <v>1.411193343681132</v>
      </c>
      <c r="F152" s="32">
        <f t="shared" si="74"/>
        <v>1.273856367723545</v>
      </c>
      <c r="G152" s="32">
        <f t="shared" si="74"/>
        <v>0.788838171875792</v>
      </c>
      <c r="H152" s="32">
        <f t="shared" si="74"/>
        <v>1.026901063306023</v>
      </c>
      <c r="I152" s="32">
        <f t="shared" si="74"/>
        <v>1.0771672711982034</v>
      </c>
      <c r="J152" s="32">
        <f t="shared" si="74"/>
        <v>1.3218431767600292</v>
      </c>
      <c r="K152" s="32">
        <f t="shared" si="74"/>
        <v>0.8480332561791283</v>
      </c>
      <c r="L152" s="32">
        <f t="shared" si="74"/>
        <v>0.8770507221589374</v>
      </c>
      <c r="M152" s="32">
        <f t="shared" si="74"/>
        <v>0.7610407667572887</v>
      </c>
      <c r="N152" s="32">
        <f t="shared" si="74"/>
        <v>1.1019299770150504</v>
      </c>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row>
    <row r="153" spans="1:44" s="3" customFormat="1" ht="12.75">
      <c r="A153" s="28" t="s">
        <v>147</v>
      </c>
      <c r="B153" s="29">
        <f aca="true" t="shared" si="75" ref="B153:N153">((78.44+3-33.6*B$97-(66.8-2.92*B147)*B$94+78.5*B$93+9.4*B$96)/(0.0721-0.0083144*LN((27*B$97*B$92*B$39)/(64*B$98*B$93*B$38))))-273.15</f>
        <v>685.4075407387377</v>
      </c>
      <c r="C153" s="29">
        <f t="shared" si="75"/>
        <v>701.9897516740847</v>
      </c>
      <c r="D153" s="29">
        <f t="shared" si="75"/>
        <v>706.3109449233344</v>
      </c>
      <c r="E153" s="29">
        <f t="shared" si="75"/>
        <v>709.7303041732016</v>
      </c>
      <c r="F153" s="29">
        <f t="shared" si="75"/>
        <v>708.3562163897402</v>
      </c>
      <c r="G153" s="29">
        <f t="shared" si="75"/>
        <v>680.8202210052374</v>
      </c>
      <c r="H153" s="29">
        <f t="shared" si="75"/>
        <v>678.2984371462579</v>
      </c>
      <c r="I153" s="29">
        <f t="shared" si="75"/>
        <v>662.867709307892</v>
      </c>
      <c r="J153" s="29">
        <f t="shared" si="75"/>
        <v>707.7178772782247</v>
      </c>
      <c r="K153" s="29">
        <f t="shared" si="75"/>
        <v>686.2616925628314</v>
      </c>
      <c r="L153" s="29">
        <f t="shared" si="75"/>
        <v>658.8463681416557</v>
      </c>
      <c r="M153" s="29">
        <f t="shared" si="75"/>
        <v>673.9612849006701</v>
      </c>
      <c r="N153" s="29">
        <f t="shared" si="75"/>
        <v>727.7360857211421</v>
      </c>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row>
    <row r="154" spans="1:44" s="3" customFormat="1" ht="12.75">
      <c r="A154" s="1" t="s">
        <v>148</v>
      </c>
      <c r="B154" s="32">
        <f aca="true" t="shared" si="76" ref="B154:N154">4.76*B$55-3.01-((B153-675)/85)*(0.53*B$55+0.005294*(B153-675))</f>
        <v>2.559257645886078</v>
      </c>
      <c r="C154" s="32">
        <f t="shared" si="76"/>
        <v>2.505150802143031</v>
      </c>
      <c r="D154" s="32">
        <f t="shared" si="76"/>
        <v>2.233290374552877</v>
      </c>
      <c r="E154" s="32">
        <f t="shared" si="76"/>
        <v>2.1163551302671038</v>
      </c>
      <c r="F154" s="32">
        <f t="shared" si="76"/>
        <v>1.9145531120804793</v>
      </c>
      <c r="G154" s="32">
        <f t="shared" si="76"/>
        <v>1.15273348642981</v>
      </c>
      <c r="H154" s="32">
        <f t="shared" si="76"/>
        <v>1.7224384698553432</v>
      </c>
      <c r="I154" s="32">
        <f t="shared" si="76"/>
        <v>1.3536225599692233</v>
      </c>
      <c r="J154" s="32">
        <f t="shared" si="76"/>
        <v>1.413075490159708</v>
      </c>
      <c r="K154" s="32">
        <f t="shared" si="76"/>
        <v>1.2866398924211908</v>
      </c>
      <c r="L154" s="32">
        <f t="shared" si="76"/>
        <v>1.6913661305750887</v>
      </c>
      <c r="M154" s="32">
        <f t="shared" si="76"/>
        <v>2.0275970307963163</v>
      </c>
      <c r="N154" s="32">
        <f t="shared" si="76"/>
        <v>2.24783049206328</v>
      </c>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row>
    <row r="155" spans="1:44" s="3" customFormat="1" ht="12.75">
      <c r="A155" t="s">
        <v>149</v>
      </c>
      <c r="B155" s="30">
        <f aca="true" t="shared" si="77" ref="B155:N155">(0.677*B149-48.98)/(-0.0429-0.008314*LN(B$38*(B$52-4)/(8-B$52)))-273.15</f>
        <v>701.9943576636208</v>
      </c>
      <c r="C155" s="30">
        <f t="shared" si="77"/>
        <v>705.044902221665</v>
      </c>
      <c r="D155" s="30">
        <f t="shared" si="77"/>
        <v>708.859092265076</v>
      </c>
      <c r="E155" s="30">
        <f t="shared" si="77"/>
        <v>699.69758673377</v>
      </c>
      <c r="F155" s="30">
        <f t="shared" si="77"/>
        <v>698.3504537508836</v>
      </c>
      <c r="G155" s="30">
        <f t="shared" si="77"/>
        <v>659.1067862927298</v>
      </c>
      <c r="H155" s="30">
        <f t="shared" si="77"/>
        <v>674.3966226242152</v>
      </c>
      <c r="I155" s="30">
        <f t="shared" si="77"/>
        <v>650.3087566002987</v>
      </c>
      <c r="J155" s="30">
        <f t="shared" si="77"/>
        <v>673.6082523062151</v>
      </c>
      <c r="K155" s="30">
        <f t="shared" si="77"/>
        <v>670.7968076727692</v>
      </c>
      <c r="L155" s="30">
        <f t="shared" si="77"/>
        <v>671.9398538717702</v>
      </c>
      <c r="M155" s="30">
        <f t="shared" si="77"/>
        <v>692.1434011863172</v>
      </c>
      <c r="N155" s="30">
        <f t="shared" si="77"/>
        <v>724.0438873412111</v>
      </c>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row>
    <row r="156" spans="1:44" s="3" customFormat="1" ht="12.75">
      <c r="A156" s="1" t="s">
        <v>150</v>
      </c>
      <c r="B156" s="32">
        <f aca="true" t="shared" si="78" ref="B156:N156">4.76*B$55-3.01-((B155-675)/85)*(0.53*B$55+0.005294*(B155-675))</f>
        <v>2.3977909355562432</v>
      </c>
      <c r="C156" s="32">
        <f t="shared" si="78"/>
        <v>2.4712290474761107</v>
      </c>
      <c r="D156" s="32">
        <f t="shared" si="78"/>
        <v>2.204484895118174</v>
      </c>
      <c r="E156" s="32">
        <f t="shared" si="78"/>
        <v>2.2251064660596946</v>
      </c>
      <c r="F156" s="32">
        <f t="shared" si="78"/>
        <v>2.018336298108709</v>
      </c>
      <c r="G156" s="32">
        <f t="shared" si="78"/>
        <v>1.2584827266992453</v>
      </c>
      <c r="H156" s="32">
        <f t="shared" si="78"/>
        <v>1.7473899406789406</v>
      </c>
      <c r="I156" s="32">
        <f t="shared" si="78"/>
        <v>1.3956323598408473</v>
      </c>
      <c r="J156" s="32">
        <f t="shared" si="78"/>
        <v>1.6892165248285391</v>
      </c>
      <c r="K156" s="32">
        <f t="shared" si="78"/>
        <v>1.3819456015295548</v>
      </c>
      <c r="L156" s="32">
        <f t="shared" si="78"/>
        <v>1.627796714257021</v>
      </c>
      <c r="M156" s="32">
        <f t="shared" si="78"/>
        <v>1.889538632607876</v>
      </c>
      <c r="N156" s="32">
        <f t="shared" si="78"/>
        <v>2.2994524018742584</v>
      </c>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row>
    <row r="157" spans="1:44" s="3" customFormat="1" ht="12.75">
      <c r="A157" s="10" t="s">
        <v>152</v>
      </c>
      <c r="B157" s="14"/>
      <c r="C157" s="14"/>
      <c r="D157" s="14"/>
      <c r="E157" s="14"/>
      <c r="F157" s="14"/>
      <c r="G157" s="14"/>
      <c r="H157" s="14"/>
      <c r="I157" s="14"/>
      <c r="J157" s="14"/>
      <c r="K157" s="14"/>
      <c r="L157" s="14"/>
      <c r="M157" s="14"/>
      <c r="N157" s="14"/>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row>
    <row r="158" spans="1:44" s="3" customFormat="1" ht="12.75">
      <c r="A158" s="28" t="s">
        <v>145</v>
      </c>
      <c r="B158" s="29">
        <f aca="true" t="shared" si="79" ref="B158:N158">((-76.95+B152*0.79+39.4*B$96+22.4*B$99+(41.5-2.89*B152)*B$94)/(-0.065-0.0083144*LN(B$100)))-273.15</f>
        <v>770.117813068635</v>
      </c>
      <c r="C158" s="29">
        <f t="shared" si="79"/>
        <v>772.1898194501163</v>
      </c>
      <c r="D158" s="29">
        <f t="shared" si="79"/>
        <v>780.0600729442175</v>
      </c>
      <c r="E158" s="29">
        <f t="shared" si="79"/>
        <v>758.777977117369</v>
      </c>
      <c r="F158" s="29">
        <f t="shared" si="79"/>
        <v>754.8406601421015</v>
      </c>
      <c r="G158" s="29">
        <f t="shared" si="79"/>
        <v>722.2357666816139</v>
      </c>
      <c r="H158" s="29">
        <f t="shared" si="79"/>
        <v>743.5487290135636</v>
      </c>
      <c r="I158" s="29">
        <f t="shared" si="79"/>
        <v>704.1608218017012</v>
      </c>
      <c r="J158" s="29">
        <f t="shared" si="79"/>
        <v>716.2470692819477</v>
      </c>
      <c r="K158" s="29">
        <f t="shared" si="79"/>
        <v>730.7047569301399</v>
      </c>
      <c r="L158" s="29">
        <f t="shared" si="79"/>
        <v>745.4850706322785</v>
      </c>
      <c r="M158" s="29">
        <f t="shared" si="79"/>
        <v>774.5163187191955</v>
      </c>
      <c r="N158" s="29">
        <f t="shared" si="79"/>
        <v>792.055077923052</v>
      </c>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row>
    <row r="159" spans="1:44" s="3" customFormat="1" ht="12.75">
      <c r="A159" s="1" t="s">
        <v>146</v>
      </c>
      <c r="B159" s="32">
        <f aca="true" t="shared" si="80" ref="B159:N159">4.76*B$55-3.01-((B158-675)/85)*(0.53*B$55+0.005294*(B158-675))</f>
        <v>1.375217253793573</v>
      </c>
      <c r="C159" s="32">
        <f t="shared" si="80"/>
        <v>1.4321371293982037</v>
      </c>
      <c r="D159" s="32">
        <f t="shared" si="80"/>
        <v>1.0725495943145245</v>
      </c>
      <c r="E159" s="32">
        <f t="shared" si="80"/>
        <v>1.4042155513304653</v>
      </c>
      <c r="F159" s="32">
        <f t="shared" si="80"/>
        <v>1.2688523758365595</v>
      </c>
      <c r="G159" s="32">
        <f t="shared" si="80"/>
        <v>0.7881920680652967</v>
      </c>
      <c r="H159" s="32">
        <f t="shared" si="80"/>
        <v>1.0241433104897162</v>
      </c>
      <c r="I159" s="32">
        <f t="shared" si="80"/>
        <v>1.076998284141564</v>
      </c>
      <c r="J159" s="32">
        <f t="shared" si="80"/>
        <v>1.3213752611924174</v>
      </c>
      <c r="K159" s="32">
        <f t="shared" si="80"/>
        <v>0.8469235447713794</v>
      </c>
      <c r="L159" s="32">
        <f t="shared" si="80"/>
        <v>0.8738770687378116</v>
      </c>
      <c r="M159" s="32">
        <f t="shared" si="80"/>
        <v>0.7481884236961378</v>
      </c>
      <c r="N159" s="32">
        <f t="shared" si="80"/>
        <v>1.0761156653946131</v>
      </c>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row>
    <row r="160" spans="1:44" s="3" customFormat="1" ht="12.75">
      <c r="A160" s="28" t="s">
        <v>147</v>
      </c>
      <c r="B160" s="29">
        <f aca="true" t="shared" si="81" ref="B160:N160">((78.44+3-33.6*B$97-(66.8-2.92*B154)*B$94+78.5*B$93+9.4*B$96)/(0.0721-0.0083144*LN((27*B$97*B$92*B$39)/(64*B$98*B$93*B$38))))-273.15</f>
        <v>685.4075381772509</v>
      </c>
      <c r="C160" s="29">
        <f t="shared" si="81"/>
        <v>701.9897329278728</v>
      </c>
      <c r="D160" s="29">
        <f t="shared" si="81"/>
        <v>706.310929426543</v>
      </c>
      <c r="E160" s="29">
        <f t="shared" si="81"/>
        <v>709.730257942617</v>
      </c>
      <c r="F160" s="29">
        <f t="shared" si="81"/>
        <v>708.3561820202915</v>
      </c>
      <c r="G160" s="29">
        <f t="shared" si="81"/>
        <v>680.8202197867842</v>
      </c>
      <c r="H160" s="29">
        <f t="shared" si="81"/>
        <v>678.2984366648876</v>
      </c>
      <c r="I160" s="29">
        <f t="shared" si="81"/>
        <v>662.8677104146844</v>
      </c>
      <c r="J160" s="29">
        <f t="shared" si="81"/>
        <v>707.71780662275</v>
      </c>
      <c r="K160" s="29">
        <f t="shared" si="81"/>
        <v>686.2616901807667</v>
      </c>
      <c r="L160" s="29">
        <f t="shared" si="81"/>
        <v>658.8463684083358</v>
      </c>
      <c r="M160" s="29">
        <f t="shared" si="81"/>
        <v>673.9612849403028</v>
      </c>
      <c r="N160" s="29">
        <f t="shared" si="81"/>
        <v>727.7359946699221</v>
      </c>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row>
    <row r="161" spans="1:44" s="3" customFormat="1" ht="12.75">
      <c r="A161" s="1" t="s">
        <v>148</v>
      </c>
      <c r="B161" s="32">
        <f aca="true" t="shared" si="82" ref="B161:N161">4.76*B$55-3.01-((B160-675)/85)*(0.53*B$55+0.005294*(B160-675))</f>
        <v>2.5592576681750474</v>
      </c>
      <c r="C161" s="32">
        <f t="shared" si="82"/>
        <v>2.5051510067177</v>
      </c>
      <c r="D161" s="32">
        <f t="shared" si="82"/>
        <v>2.233290547276611</v>
      </c>
      <c r="E161" s="32">
        <f t="shared" si="82"/>
        <v>2.116355660278905</v>
      </c>
      <c r="F161" s="32">
        <f t="shared" si="82"/>
        <v>1.9145534899904983</v>
      </c>
      <c r="G161" s="32">
        <f t="shared" si="82"/>
        <v>1.1527334940117393</v>
      </c>
      <c r="H161" s="32">
        <f t="shared" si="82"/>
        <v>1.722438473050608</v>
      </c>
      <c r="I161" s="32">
        <f t="shared" si="82"/>
        <v>1.3536225554012593</v>
      </c>
      <c r="J161" s="32">
        <f t="shared" si="82"/>
        <v>1.4130762122668405</v>
      </c>
      <c r="K161" s="32">
        <f t="shared" si="82"/>
        <v>1.2866399093955607</v>
      </c>
      <c r="L161" s="32">
        <f t="shared" si="82"/>
        <v>1.6913661294978215</v>
      </c>
      <c r="M161" s="32">
        <f t="shared" si="82"/>
        <v>2.0275970305402624</v>
      </c>
      <c r="N161" s="32">
        <f t="shared" si="82"/>
        <v>2.2478317860195705</v>
      </c>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row>
    <row r="162" spans="1:44" s="3" customFormat="1" ht="12.75">
      <c r="A162" t="s">
        <v>149</v>
      </c>
      <c r="B162" s="30">
        <f aca="true" t="shared" si="83" ref="B162:N162">(0.677*B156-48.98)/(-0.0429-0.008314*LN(B$38*(B$52-4)/(8-B$52)))-273.15</f>
        <v>702.0586837857946</v>
      </c>
      <c r="C162" s="30">
        <f t="shared" si="83"/>
        <v>705.126686695098</v>
      </c>
      <c r="D162" s="30">
        <f t="shared" si="83"/>
        <v>708.952914519346</v>
      </c>
      <c r="E162" s="30">
        <f t="shared" si="83"/>
        <v>699.7479892982329</v>
      </c>
      <c r="F162" s="30">
        <f t="shared" si="83"/>
        <v>698.3917813118137</v>
      </c>
      <c r="G162" s="30">
        <f t="shared" si="83"/>
        <v>659.1048459606568</v>
      </c>
      <c r="H162" s="30">
        <f t="shared" si="83"/>
        <v>674.3963088165341</v>
      </c>
      <c r="I162" s="30">
        <f t="shared" si="83"/>
        <v>650.3072925523852</v>
      </c>
      <c r="J162" s="30">
        <f t="shared" si="83"/>
        <v>673.6075858494263</v>
      </c>
      <c r="K162" s="30">
        <f t="shared" si="83"/>
        <v>670.7954425637017</v>
      </c>
      <c r="L162" s="30">
        <f t="shared" si="83"/>
        <v>671.938577679229</v>
      </c>
      <c r="M162" s="30">
        <f t="shared" si="83"/>
        <v>692.1657598424621</v>
      </c>
      <c r="N162" s="30">
        <f t="shared" si="83"/>
        <v>724.2676061672372</v>
      </c>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row>
    <row r="163" spans="1:44" s="3" customFormat="1" ht="12.75">
      <c r="A163" s="1" t="s">
        <v>150</v>
      </c>
      <c r="B163" s="32">
        <f aca="true" t="shared" si="84" ref="B163:N163">4.76*B$55-3.01-((B162-675)/85)*(0.53*B$55+0.005294*(B162-675))</f>
        <v>2.3970980329974423</v>
      </c>
      <c r="C163" s="32">
        <f t="shared" si="84"/>
        <v>2.4703050045760477</v>
      </c>
      <c r="D163" s="32">
        <f t="shared" si="84"/>
        <v>2.2034088450943368</v>
      </c>
      <c r="E163" s="32">
        <f t="shared" si="84"/>
        <v>2.224591455332399</v>
      </c>
      <c r="F163" s="32">
        <f t="shared" si="84"/>
        <v>2.017933282771677</v>
      </c>
      <c r="G163" s="32">
        <f t="shared" si="84"/>
        <v>1.2584895522772044</v>
      </c>
      <c r="H163" s="32">
        <f t="shared" si="84"/>
        <v>1.7473918711622956</v>
      </c>
      <c r="I163" s="32">
        <f t="shared" si="84"/>
        <v>1.3956361117797094</v>
      </c>
      <c r="J163" s="32">
        <f t="shared" si="84"/>
        <v>1.6892205043908308</v>
      </c>
      <c r="K163" s="32">
        <f t="shared" si="84"/>
        <v>1.381952699335746</v>
      </c>
      <c r="L163" s="32">
        <f t="shared" si="84"/>
        <v>1.6278039508495172</v>
      </c>
      <c r="M163" s="32">
        <f t="shared" si="84"/>
        <v>1.8893435107411194</v>
      </c>
      <c r="N163" s="32">
        <f t="shared" si="84"/>
        <v>2.2963728400257857</v>
      </c>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row>
    <row r="164" spans="1:44" s="3" customFormat="1" ht="12.75">
      <c r="A164" s="10" t="s">
        <v>153</v>
      </c>
      <c r="B164" s="14"/>
      <c r="C164" s="14"/>
      <c r="D164" s="14"/>
      <c r="E164" s="14"/>
      <c r="F164" s="14"/>
      <c r="G164" s="14"/>
      <c r="H164" s="14"/>
      <c r="I164" s="14"/>
      <c r="J164" s="14"/>
      <c r="K164" s="14"/>
      <c r="L164" s="14"/>
      <c r="M164" s="14"/>
      <c r="N164" s="14"/>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row>
    <row r="165" spans="1:44" s="3" customFormat="1" ht="12.75">
      <c r="A165" s="28" t="s">
        <v>145</v>
      </c>
      <c r="B165" s="29">
        <f aca="true" t="shared" si="85" ref="B165:N165">((-76.95+B159*0.79+39.4*B$96+22.4*B$99+(41.5-2.89*B159)*B$94)/(-0.065-0.0083144*LN(B$100)))-273.15</f>
        <v>770.2734685576894</v>
      </c>
      <c r="C165" s="29">
        <f t="shared" si="85"/>
        <v>772.3657118425496</v>
      </c>
      <c r="D165" s="29">
        <f t="shared" si="85"/>
        <v>780.2875703090714</v>
      </c>
      <c r="E165" s="29">
        <f t="shared" si="85"/>
        <v>758.8604175048525</v>
      </c>
      <c r="F165" s="29">
        <f t="shared" si="85"/>
        <v>754.897305638346</v>
      </c>
      <c r="G165" s="29">
        <f t="shared" si="85"/>
        <v>722.2427977997544</v>
      </c>
      <c r="H165" s="29">
        <f t="shared" si="85"/>
        <v>743.5802334617134</v>
      </c>
      <c r="I165" s="29">
        <f t="shared" si="85"/>
        <v>704.1625644958623</v>
      </c>
      <c r="J165" s="29">
        <f t="shared" si="85"/>
        <v>716.2518207738756</v>
      </c>
      <c r="K165" s="29">
        <f t="shared" si="85"/>
        <v>730.7167952580547</v>
      </c>
      <c r="L165" s="29">
        <f t="shared" si="85"/>
        <v>745.5227550210103</v>
      </c>
      <c r="M165" s="29">
        <f t="shared" si="85"/>
        <v>774.6801971073481</v>
      </c>
      <c r="N165" s="29">
        <f t="shared" si="85"/>
        <v>792.3808635800173</v>
      </c>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row>
    <row r="166" spans="1:44" s="3" customFormat="1" ht="12.75">
      <c r="A166" s="1" t="s">
        <v>146</v>
      </c>
      <c r="B166" s="32">
        <f aca="true" t="shared" si="86" ref="B166:N166">4.76*B$55-3.01-((B165-675)/85)*(0.53*B$55+0.005294*(B165-675))</f>
        <v>1.3722188341059842</v>
      </c>
      <c r="C166" s="32">
        <f t="shared" si="86"/>
        <v>1.42867763197117</v>
      </c>
      <c r="D166" s="32">
        <f t="shared" si="86"/>
        <v>1.067920823180262</v>
      </c>
      <c r="E166" s="32">
        <f t="shared" si="86"/>
        <v>1.4027663091914682</v>
      </c>
      <c r="F166" s="32">
        <f t="shared" si="86"/>
        <v>1.2679013334760931</v>
      </c>
      <c r="G166" s="32">
        <f t="shared" si="86"/>
        <v>0.7881120403099444</v>
      </c>
      <c r="H166" s="32">
        <f t="shared" si="86"/>
        <v>1.0236780623285333</v>
      </c>
      <c r="I166" s="32">
        <f t="shared" si="86"/>
        <v>1.0769821276548712</v>
      </c>
      <c r="J166" s="32">
        <f t="shared" si="86"/>
        <v>1.3213216508102341</v>
      </c>
      <c r="K166" s="32">
        <f t="shared" si="86"/>
        <v>0.846771107115442</v>
      </c>
      <c r="L166" s="32">
        <f t="shared" si="86"/>
        <v>0.8733180577637407</v>
      </c>
      <c r="M166" s="32">
        <f t="shared" si="86"/>
        <v>0.7450753116046911</v>
      </c>
      <c r="N166" s="32">
        <f t="shared" si="86"/>
        <v>1.0688690607094933</v>
      </c>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row>
    <row r="167" spans="1:44" s="3" customFormat="1" ht="12.75">
      <c r="A167" s="28" t="s">
        <v>147</v>
      </c>
      <c r="B167" s="29">
        <f aca="true" t="shared" si="87" ref="B167:N167">((78.44+3-33.6*B$97-(66.8-2.92*B161)*B$94+78.5*B$93+9.4*B$96)/(0.0721-0.0083144*LN((27*B$97*B$92*B$39)/(64*B$98*B$93*B$38))))-273.15</f>
        <v>685.4075381936854</v>
      </c>
      <c r="C167" s="29">
        <f t="shared" si="87"/>
        <v>701.9897331027968</v>
      </c>
      <c r="D167" s="29">
        <f t="shared" si="87"/>
        <v>706.3109295568238</v>
      </c>
      <c r="E167" s="29">
        <f t="shared" si="87"/>
        <v>709.7302584854402</v>
      </c>
      <c r="F167" s="29">
        <f t="shared" si="87"/>
        <v>708.3561823909987</v>
      </c>
      <c r="G167" s="29">
        <f t="shared" si="87"/>
        <v>680.8202197941497</v>
      </c>
      <c r="H167" s="29">
        <f t="shared" si="87"/>
        <v>678.2984366674441</v>
      </c>
      <c r="I167" s="29">
        <f t="shared" si="87"/>
        <v>662.8677104099788</v>
      </c>
      <c r="J167" s="29">
        <f t="shared" si="87"/>
        <v>707.7178076010817</v>
      </c>
      <c r="K167" s="29">
        <f t="shared" si="87"/>
        <v>686.2616901954257</v>
      </c>
      <c r="L167" s="29">
        <f t="shared" si="87"/>
        <v>658.8463684077057</v>
      </c>
      <c r="M167" s="29">
        <f t="shared" si="87"/>
        <v>673.96128494017</v>
      </c>
      <c r="N167" s="29">
        <f t="shared" si="87"/>
        <v>727.7359958562055</v>
      </c>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row>
    <row r="168" spans="1:44" s="3" customFormat="1" ht="12.75">
      <c r="A168" s="1" t="s">
        <v>148</v>
      </c>
      <c r="B168" s="32">
        <f aca="true" t="shared" si="88" ref="B168:N168">4.76*B$55-3.01-((B167-675)/85)*(0.53*B$55+0.005294*(B167-675))</f>
        <v>2.559257668032042</v>
      </c>
      <c r="C168" s="32">
        <f t="shared" si="88"/>
        <v>2.5051510048087797</v>
      </c>
      <c r="D168" s="32">
        <f t="shared" si="88"/>
        <v>2.2332905458245307</v>
      </c>
      <c r="E168" s="32">
        <f t="shared" si="88"/>
        <v>2.116355654055694</v>
      </c>
      <c r="F168" s="32">
        <f t="shared" si="88"/>
        <v>1.91455348591438</v>
      </c>
      <c r="G168" s="32">
        <f t="shared" si="88"/>
        <v>1.1527334939659066</v>
      </c>
      <c r="H168" s="32">
        <f t="shared" si="88"/>
        <v>1.7224384730336384</v>
      </c>
      <c r="I168" s="32">
        <f t="shared" si="88"/>
        <v>1.3536225554206804</v>
      </c>
      <c r="J168" s="32">
        <f t="shared" si="88"/>
        <v>1.413076202268181</v>
      </c>
      <c r="K168" s="32">
        <f t="shared" si="88"/>
        <v>1.286639909291102</v>
      </c>
      <c r="L168" s="32">
        <f t="shared" si="88"/>
        <v>1.691366129500367</v>
      </c>
      <c r="M168" s="32">
        <f t="shared" si="88"/>
        <v>2.0275970305411204</v>
      </c>
      <c r="N168" s="32">
        <f t="shared" si="88"/>
        <v>2.247831769160947</v>
      </c>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row>
    <row r="169" spans="1:44" s="3" customFormat="1" ht="12.75">
      <c r="A169" t="s">
        <v>149</v>
      </c>
      <c r="B169" s="30">
        <f aca="true" t="shared" si="89" ref="B169:N169">(0.677*B163-48.98)/(-0.0429-0.008314*LN(B$38*(B$52-4)/(8-B$52)))-273.15</f>
        <v>702.0683437830526</v>
      </c>
      <c r="C169" s="30">
        <f t="shared" si="89"/>
        <v>705.1396232102579</v>
      </c>
      <c r="D169" s="30">
        <f t="shared" si="89"/>
        <v>708.9679805289743</v>
      </c>
      <c r="E169" s="30">
        <f t="shared" si="89"/>
        <v>699.7551345914724</v>
      </c>
      <c r="F169" s="30">
        <f t="shared" si="89"/>
        <v>698.3973485631776</v>
      </c>
      <c r="G169" s="30">
        <f t="shared" si="89"/>
        <v>659.1047564520351</v>
      </c>
      <c r="H169" s="30">
        <f t="shared" si="89"/>
        <v>674.3962829073116</v>
      </c>
      <c r="I169" s="30">
        <f t="shared" si="89"/>
        <v>650.307243720665</v>
      </c>
      <c r="J169" s="30">
        <f t="shared" si="89"/>
        <v>673.6075325276906</v>
      </c>
      <c r="K169" s="30">
        <f t="shared" si="89"/>
        <v>670.7953481539798</v>
      </c>
      <c r="L169" s="30">
        <f t="shared" si="89"/>
        <v>671.9384809718827</v>
      </c>
      <c r="M169" s="30">
        <f t="shared" si="89"/>
        <v>692.168433085876</v>
      </c>
      <c r="N169" s="30">
        <f t="shared" si="89"/>
        <v>724.3114555137997</v>
      </c>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row>
    <row r="170" spans="1:44" s="3" customFormat="1" ht="12.75">
      <c r="A170" s="1" t="s">
        <v>150</v>
      </c>
      <c r="B170" s="32">
        <f aca="true" t="shared" si="90" ref="B170:N170">4.76*B$55-3.01-((B169-675)/85)*(0.53*B$55+0.005294*(B169-675))</f>
        <v>2.3969939337609887</v>
      </c>
      <c r="C170" s="32">
        <f t="shared" si="90"/>
        <v>2.470158764878794</v>
      </c>
      <c r="D170" s="32">
        <f t="shared" si="90"/>
        <v>2.203235950439144</v>
      </c>
      <c r="E170" s="32">
        <f t="shared" si="90"/>
        <v>2.224518419495221</v>
      </c>
      <c r="F170" s="32">
        <f t="shared" si="90"/>
        <v>2.0178789761628178</v>
      </c>
      <c r="G170" s="32">
        <f t="shared" si="90"/>
        <v>1.2584898671336804</v>
      </c>
      <c r="H170" s="32">
        <f t="shared" si="90"/>
        <v>1.7473920305502064</v>
      </c>
      <c r="I170" s="32">
        <f t="shared" si="90"/>
        <v>1.3956362369169337</v>
      </c>
      <c r="J170" s="32">
        <f t="shared" si="90"/>
        <v>1.6892208227844299</v>
      </c>
      <c r="K170" s="32">
        <f t="shared" si="90"/>
        <v>1.3819531902050906</v>
      </c>
      <c r="L170" s="32">
        <f t="shared" si="90"/>
        <v>1.6278044992159124</v>
      </c>
      <c r="M170" s="32">
        <f t="shared" si="90"/>
        <v>1.8893201774322568</v>
      </c>
      <c r="N170" s="32">
        <f t="shared" si="90"/>
        <v>2.2957685088778836</v>
      </c>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row>
    <row r="171" spans="1:44" s="3" customFormat="1" ht="12.75">
      <c r="A171" s="10" t="s">
        <v>154</v>
      </c>
      <c r="B171" s="14"/>
      <c r="C171" s="14"/>
      <c r="D171" s="14"/>
      <c r="E171" s="14"/>
      <c r="F171" s="14"/>
      <c r="G171" s="14"/>
      <c r="H171" s="14"/>
      <c r="I171" s="14"/>
      <c r="J171" s="14"/>
      <c r="K171" s="14"/>
      <c r="L171" s="14"/>
      <c r="M171" s="14"/>
      <c r="N171" s="14"/>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row>
    <row r="172" spans="1:44" s="3" customFormat="1" ht="12.75">
      <c r="A172" s="28" t="s">
        <v>145</v>
      </c>
      <c r="B172" s="29">
        <f aca="true" t="shared" si="91" ref="B172:N172">((-76.95+B166*0.79+39.4*B$96+22.4*B$99+(41.5-2.89*B166)*B$94)/(-0.065-0.0083144*LN(B$100)))-273.15</f>
        <v>770.3107993261282</v>
      </c>
      <c r="C172" s="29">
        <f t="shared" si="91"/>
        <v>772.4090926652219</v>
      </c>
      <c r="D172" s="29">
        <f t="shared" si="91"/>
        <v>780.346914406933</v>
      </c>
      <c r="E172" s="29">
        <f t="shared" si="91"/>
        <v>758.8775398377473</v>
      </c>
      <c r="F172" s="29">
        <f t="shared" si="91"/>
        <v>754.9080714964199</v>
      </c>
      <c r="G172" s="29">
        <f t="shared" si="91"/>
        <v>722.243668688601</v>
      </c>
      <c r="H172" s="29">
        <f t="shared" si="91"/>
        <v>743.585548436458</v>
      </c>
      <c r="I172" s="29">
        <f t="shared" si="91"/>
        <v>704.1627311110788</v>
      </c>
      <c r="J172" s="29">
        <f t="shared" si="91"/>
        <v>716.2523651654618</v>
      </c>
      <c r="K172" s="29">
        <f t="shared" si="91"/>
        <v>730.718448926275</v>
      </c>
      <c r="L172" s="29">
        <f t="shared" si="91"/>
        <v>745.5293927927065</v>
      </c>
      <c r="M172" s="29">
        <f t="shared" si="91"/>
        <v>774.7198919543699</v>
      </c>
      <c r="N172" s="29">
        <f t="shared" si="91"/>
        <v>792.4723182700676</v>
      </c>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row>
    <row r="173" spans="1:44" s="3" customFormat="1" ht="12.75">
      <c r="A173" s="1" t="s">
        <v>146</v>
      </c>
      <c r="B173" s="32">
        <f aca="true" t="shared" si="92" ref="B173:N173">4.76*B$55-3.01-((B172-675)/85)*(0.53*B$55+0.005294*(B172-675))</f>
        <v>1.37149927609553</v>
      </c>
      <c r="C173" s="32">
        <f t="shared" si="92"/>
        <v>1.4278238141966189</v>
      </c>
      <c r="D173" s="32">
        <f t="shared" si="92"/>
        <v>1.0667123193446002</v>
      </c>
      <c r="E173" s="32">
        <f t="shared" si="92"/>
        <v>1.402465204838808</v>
      </c>
      <c r="F173" s="32">
        <f t="shared" si="92"/>
        <v>1.2677205362692672</v>
      </c>
      <c r="G173" s="32">
        <f t="shared" si="92"/>
        <v>0.7881021274779038</v>
      </c>
      <c r="H173" s="32">
        <f t="shared" si="92"/>
        <v>1.0235995602008146</v>
      </c>
      <c r="I173" s="32">
        <f t="shared" si="92"/>
        <v>1.0769805829483379</v>
      </c>
      <c r="J173" s="32">
        <f t="shared" si="92"/>
        <v>1.3213155083407473</v>
      </c>
      <c r="K173" s="32">
        <f t="shared" si="92"/>
        <v>0.8467501658115167</v>
      </c>
      <c r="L173" s="32">
        <f t="shared" si="92"/>
        <v>0.8732195746025154</v>
      </c>
      <c r="M173" s="32">
        <f t="shared" si="92"/>
        <v>0.7443207460499011</v>
      </c>
      <c r="N173" s="32">
        <f t="shared" si="92"/>
        <v>1.0668324141121421</v>
      </c>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row>
    <row r="174" spans="1:44" s="3" customFormat="1" ht="12.75">
      <c r="A174" s="28" t="s">
        <v>147</v>
      </c>
      <c r="B174" s="29">
        <f aca="true" t="shared" si="93" ref="B174:N174">((78.44+3-33.6*B$97-(66.8-2.92*B168)*B$94+78.5*B$93+9.4*B$96)/(0.0721-0.0083144*LN((27*B$97*B$92*B$39)/(64*B$98*B$93*B$38))))-273.15</f>
        <v>685.40753819358</v>
      </c>
      <c r="C174" s="29">
        <f t="shared" si="93"/>
        <v>701.9897331011645</v>
      </c>
      <c r="D174" s="29">
        <f t="shared" si="93"/>
        <v>706.3109295557285</v>
      </c>
      <c r="E174" s="29">
        <f t="shared" si="93"/>
        <v>709.7302584790667</v>
      </c>
      <c r="F174" s="29">
        <f t="shared" si="93"/>
        <v>708.3561823870002</v>
      </c>
      <c r="G174" s="29">
        <f t="shared" si="93"/>
        <v>680.820219794105</v>
      </c>
      <c r="H174" s="29">
        <f t="shared" si="93"/>
        <v>678.2984366674307</v>
      </c>
      <c r="I174" s="29">
        <f t="shared" si="93"/>
        <v>662.8677104099988</v>
      </c>
      <c r="J174" s="29">
        <f t="shared" si="93"/>
        <v>707.7178075875353</v>
      </c>
      <c r="K174" s="29">
        <f t="shared" si="93"/>
        <v>686.2616901953354</v>
      </c>
      <c r="L174" s="29">
        <f t="shared" si="93"/>
        <v>658.8463684077072</v>
      </c>
      <c r="M174" s="29">
        <f t="shared" si="93"/>
        <v>673.9612849401706</v>
      </c>
      <c r="N174" s="29">
        <f t="shared" si="93"/>
        <v>727.7359958407496</v>
      </c>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row>
    <row r="175" spans="1:44" s="3" customFormat="1" ht="12.75">
      <c r="A175" s="1" t="s">
        <v>148</v>
      </c>
      <c r="B175" s="32">
        <f aca="true" t="shared" si="94" ref="B175:N175">4.76*B$55-3.01-((B174-675)/85)*(0.53*B$55+0.005294*(B174-675))</f>
        <v>2.559257668032959</v>
      </c>
      <c r="C175" s="32">
        <f t="shared" si="94"/>
        <v>2.505151004826593</v>
      </c>
      <c r="D175" s="32">
        <f t="shared" si="94"/>
        <v>2.2332905458367383</v>
      </c>
      <c r="E175" s="32">
        <f t="shared" si="94"/>
        <v>2.116355654128763</v>
      </c>
      <c r="F175" s="32">
        <f t="shared" si="94"/>
        <v>1.9145534859583453</v>
      </c>
      <c r="G175" s="32">
        <f t="shared" si="94"/>
        <v>1.1527334939661846</v>
      </c>
      <c r="H175" s="32">
        <f t="shared" si="94"/>
        <v>1.7224384730337274</v>
      </c>
      <c r="I175" s="32">
        <f t="shared" si="94"/>
        <v>1.3536225554205978</v>
      </c>
      <c r="J175" s="32">
        <f t="shared" si="94"/>
        <v>1.4130762024066277</v>
      </c>
      <c r="K175" s="32">
        <f t="shared" si="94"/>
        <v>1.2866399092917453</v>
      </c>
      <c r="L175" s="32">
        <f t="shared" si="94"/>
        <v>1.6913661295003606</v>
      </c>
      <c r="M175" s="32">
        <f t="shared" si="94"/>
        <v>2.027597030541117</v>
      </c>
      <c r="N175" s="32">
        <f t="shared" si="94"/>
        <v>2.2478317693805945</v>
      </c>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row>
    <row r="176" spans="1:44" s="3" customFormat="1" ht="12.75">
      <c r="A176" t="s">
        <v>149</v>
      </c>
      <c r="B176" s="30">
        <f aca="true" t="shared" si="95" ref="B176:N176">(0.677*B170-48.98)/(-0.0429-0.008314*LN(B$38*(B$52-4)/(8-B$52)))-273.15</f>
        <v>702.0697950669683</v>
      </c>
      <c r="C176" s="30">
        <f t="shared" si="95"/>
        <v>705.1416705524977</v>
      </c>
      <c r="D176" s="30">
        <f t="shared" si="95"/>
        <v>708.9704012645183</v>
      </c>
      <c r="E176" s="30">
        <f t="shared" si="95"/>
        <v>699.756147895557</v>
      </c>
      <c r="F176" s="30">
        <f t="shared" si="95"/>
        <v>698.3980987543354</v>
      </c>
      <c r="G176" s="30">
        <f t="shared" si="95"/>
        <v>659.1047523230998</v>
      </c>
      <c r="H176" s="30">
        <f t="shared" si="95"/>
        <v>674.3962807681495</v>
      </c>
      <c r="I176" s="30">
        <f t="shared" si="95"/>
        <v>650.3072420919962</v>
      </c>
      <c r="J176" s="30">
        <f t="shared" si="95"/>
        <v>673.6075282615685</v>
      </c>
      <c r="K176" s="30">
        <f t="shared" si="95"/>
        <v>670.795341624802</v>
      </c>
      <c r="L176" s="30">
        <f t="shared" si="95"/>
        <v>671.9384736437016</v>
      </c>
      <c r="M176" s="30">
        <f t="shared" si="95"/>
        <v>692.1687527610375</v>
      </c>
      <c r="N176" s="30">
        <f t="shared" si="95"/>
        <v>724.3200604801056</v>
      </c>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row>
    <row r="177" spans="1:44" s="3" customFormat="1" ht="12.75">
      <c r="A177" s="1" t="s">
        <v>150</v>
      </c>
      <c r="B177" s="32">
        <f aca="true" t="shared" si="96" ref="B177:N177">4.76*B$55-3.01-((B176-675)/85)*(0.53*B$55+0.005294*(B176-675))</f>
        <v>2.396978293254537</v>
      </c>
      <c r="C177" s="32">
        <f t="shared" si="96"/>
        <v>2.4701356189679635</v>
      </c>
      <c r="D177" s="32">
        <f t="shared" si="96"/>
        <v>2.2032081679029276</v>
      </c>
      <c r="E177" s="32">
        <f t="shared" si="96"/>
        <v>2.2245080614610937</v>
      </c>
      <c r="F177" s="32">
        <f t="shared" si="96"/>
        <v>2.0178716580127256</v>
      </c>
      <c r="G177" s="32">
        <f t="shared" si="96"/>
        <v>1.2584898816576429</v>
      </c>
      <c r="H177" s="32">
        <f t="shared" si="96"/>
        <v>1.7473920437098636</v>
      </c>
      <c r="I177" s="32">
        <f t="shared" si="96"/>
        <v>1.3956362410905907</v>
      </c>
      <c r="J177" s="32">
        <f t="shared" si="96"/>
        <v>1.689220848258191</v>
      </c>
      <c r="K177" s="32">
        <f t="shared" si="96"/>
        <v>1.3819532241525414</v>
      </c>
      <c r="L177" s="32">
        <f t="shared" si="96"/>
        <v>1.6278045407693598</v>
      </c>
      <c r="M177" s="32">
        <f t="shared" si="96"/>
        <v>1.8893173870995337</v>
      </c>
      <c r="N177" s="32">
        <f t="shared" si="96"/>
        <v>2.2956498872272504</v>
      </c>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row>
    <row r="178" spans="1:44" s="3" customFormat="1" ht="12.75">
      <c r="A178" s="10" t="s">
        <v>126</v>
      </c>
      <c r="B178" s="14"/>
      <c r="C178" s="14"/>
      <c r="D178" s="14"/>
      <c r="E178" s="14"/>
      <c r="F178" s="14"/>
      <c r="G178" s="14"/>
      <c r="H178" s="14"/>
      <c r="I178" s="14"/>
      <c r="J178" s="14"/>
      <c r="K178" s="14"/>
      <c r="L178" s="14"/>
      <c r="M178" s="14"/>
      <c r="N178" s="14"/>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row>
    <row r="179" spans="1:44" s="3" customFormat="1" ht="12.75">
      <c r="A179" s="28" t="s">
        <v>127</v>
      </c>
      <c r="B179" s="29">
        <f aca="true" t="shared" si="97" ref="B179:N179">((-76.95+B173*0.79+39.4*B$96+22.4*B$99+(41.5-2.89*B173)*B$94)/(-0.065-0.0083144*LN(B$100)))-273.15</f>
        <v>770.3197579297477</v>
      </c>
      <c r="C179" s="29">
        <f t="shared" si="97"/>
        <v>772.4197992254243</v>
      </c>
      <c r="D179" s="29">
        <f t="shared" si="97"/>
        <v>780.3624082751347</v>
      </c>
      <c r="E179" s="29">
        <f t="shared" si="97"/>
        <v>758.8810972894822</v>
      </c>
      <c r="F179" s="29">
        <f t="shared" si="97"/>
        <v>754.9101181319328</v>
      </c>
      <c r="G179" s="29">
        <f t="shared" si="97"/>
        <v>722.2437765633606</v>
      </c>
      <c r="H179" s="29">
        <f t="shared" si="97"/>
        <v>743.5864452413485</v>
      </c>
      <c r="I179" s="29">
        <f t="shared" si="97"/>
        <v>704.1627470410036</v>
      </c>
      <c r="J179" s="29">
        <f t="shared" si="97"/>
        <v>716.2524275397367</v>
      </c>
      <c r="K179" s="29">
        <f t="shared" si="97"/>
        <v>730.7186761009096</v>
      </c>
      <c r="L179" s="29">
        <f t="shared" si="97"/>
        <v>745.5305621950447</v>
      </c>
      <c r="M179" s="29">
        <f t="shared" si="97"/>
        <v>774.7295133118363</v>
      </c>
      <c r="N179" s="29">
        <f t="shared" si="97"/>
        <v>792.4980214636865</v>
      </c>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row>
    <row r="180" spans="1:44" s="3" customFormat="1" ht="12.75">
      <c r="A180" s="1" t="s">
        <v>128</v>
      </c>
      <c r="B180" s="32">
        <f aca="true" t="shared" si="98" ref="B180:N180">4.76*B$55-3.01-((B179-675)/85)*(0.53*B$55+0.005294*(B179-675))</f>
        <v>1.371326571395456</v>
      </c>
      <c r="C180" s="32">
        <f t="shared" si="98"/>
        <v>1.4276130524945274</v>
      </c>
      <c r="D180" s="32">
        <f t="shared" si="98"/>
        <v>1.0663967246089554</v>
      </c>
      <c r="E180" s="32">
        <f t="shared" si="98"/>
        <v>1.4024026407792287</v>
      </c>
      <c r="F180" s="32">
        <f t="shared" si="98"/>
        <v>1.267686164316342</v>
      </c>
      <c r="G180" s="32">
        <f t="shared" si="98"/>
        <v>0.7881008995943406</v>
      </c>
      <c r="H180" s="32">
        <f t="shared" si="98"/>
        <v>1.0235863140539332</v>
      </c>
      <c r="I180" s="32">
        <f t="shared" si="98"/>
        <v>1.0769804352602113</v>
      </c>
      <c r="J180" s="32">
        <f t="shared" si="98"/>
        <v>1.3213148045580785</v>
      </c>
      <c r="K180" s="32">
        <f t="shared" si="98"/>
        <v>0.8467472889484202</v>
      </c>
      <c r="L180" s="32">
        <f t="shared" si="98"/>
        <v>0.8732022238681644</v>
      </c>
      <c r="M180" s="32">
        <f t="shared" si="98"/>
        <v>0.7441378226088882</v>
      </c>
      <c r="N180" s="32">
        <f t="shared" si="98"/>
        <v>1.0662598303071784</v>
      </c>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row>
    <row r="181" spans="1:44" s="3" customFormat="1" ht="12.75">
      <c r="A181" s="28" t="s">
        <v>147</v>
      </c>
      <c r="B181" s="29">
        <f aca="true" t="shared" si="99" ref="B181:N181">((78.44+3-33.6*B$97-(66.8-2.92*B175)*B$94+78.5*B$93+9.4*B$96)/(0.0721-0.0083144*LN((27*B$97*B$92*B$39)/(64*B$98*B$93*B$38))))-273.15</f>
        <v>685.4075381935806</v>
      </c>
      <c r="C181" s="29">
        <f t="shared" si="99"/>
        <v>701.9897331011798</v>
      </c>
      <c r="D181" s="29">
        <f t="shared" si="99"/>
        <v>706.3109295557377</v>
      </c>
      <c r="E181" s="29">
        <f t="shared" si="99"/>
        <v>709.7302584791414</v>
      </c>
      <c r="F181" s="29">
        <f t="shared" si="99"/>
        <v>708.3561823870434</v>
      </c>
      <c r="G181" s="29">
        <f t="shared" si="99"/>
        <v>680.8202197941054</v>
      </c>
      <c r="H181" s="29">
        <f t="shared" si="99"/>
        <v>678.2984366674307</v>
      </c>
      <c r="I181" s="29">
        <f t="shared" si="99"/>
        <v>662.8677104099987</v>
      </c>
      <c r="J181" s="29">
        <f t="shared" si="99"/>
        <v>707.7178075877229</v>
      </c>
      <c r="K181" s="29">
        <f t="shared" si="99"/>
        <v>686.261690195336</v>
      </c>
      <c r="L181" s="29">
        <f t="shared" si="99"/>
        <v>658.8463684077072</v>
      </c>
      <c r="M181" s="29">
        <f t="shared" si="99"/>
        <v>673.9612849401706</v>
      </c>
      <c r="N181" s="29">
        <f t="shared" si="99"/>
        <v>727.735995840951</v>
      </c>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row>
    <row r="182" spans="1:44" s="3" customFormat="1" ht="12.75">
      <c r="A182" s="1" t="s">
        <v>148</v>
      </c>
      <c r="B182" s="32">
        <f aca="true" t="shared" si="100" ref="B182:N182">4.76*B$55-3.01-((B181-675)/85)*(0.53*B$55+0.005294*(B181-675))</f>
        <v>2.559257668032953</v>
      </c>
      <c r="C182" s="32">
        <f t="shared" si="100"/>
        <v>2.5051510048264256</v>
      </c>
      <c r="D182" s="32">
        <f t="shared" si="100"/>
        <v>2.2332905458366357</v>
      </c>
      <c r="E182" s="32">
        <f t="shared" si="100"/>
        <v>2.116355654127907</v>
      </c>
      <c r="F182" s="32">
        <f t="shared" si="100"/>
        <v>1.9145534859578703</v>
      </c>
      <c r="G182" s="32">
        <f t="shared" si="100"/>
        <v>1.1527334939661824</v>
      </c>
      <c r="H182" s="32">
        <f t="shared" si="100"/>
        <v>1.7224384730337274</v>
      </c>
      <c r="I182" s="32">
        <f t="shared" si="100"/>
        <v>1.3536225554205983</v>
      </c>
      <c r="J182" s="32">
        <f t="shared" si="100"/>
        <v>1.4130762024047103</v>
      </c>
      <c r="K182" s="32">
        <f t="shared" si="100"/>
        <v>1.2866399092917413</v>
      </c>
      <c r="L182" s="32">
        <f t="shared" si="100"/>
        <v>1.6913661295003606</v>
      </c>
      <c r="M182" s="32">
        <f t="shared" si="100"/>
        <v>2.027597030541117</v>
      </c>
      <c r="N182" s="32">
        <f t="shared" si="100"/>
        <v>2.247831769377733</v>
      </c>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row>
    <row r="183" spans="1:44" s="3" customFormat="1" ht="12.75">
      <c r="A183" t="s">
        <v>149</v>
      </c>
      <c r="B183" s="30">
        <f aca="true" t="shared" si="101" ref="B183:N183">(0.677*B177-48.98)/(-0.0429-0.008314*LN(B$38*(B$52-4)/(8-B$52)))-273.15</f>
        <v>702.0700131167466</v>
      </c>
      <c r="C183" s="30">
        <f t="shared" si="101"/>
        <v>705.1419945931091</v>
      </c>
      <c r="D183" s="30">
        <f t="shared" si="101"/>
        <v>708.97079025383</v>
      </c>
      <c r="E183" s="30">
        <f t="shared" si="101"/>
        <v>699.7562916036146</v>
      </c>
      <c r="F183" s="30">
        <f t="shared" si="101"/>
        <v>698.3981998472153</v>
      </c>
      <c r="G183" s="30">
        <f t="shared" si="101"/>
        <v>659.1047521326369</v>
      </c>
      <c r="H183" s="30">
        <f t="shared" si="101"/>
        <v>674.3962805915323</v>
      </c>
      <c r="I183" s="30">
        <f t="shared" si="101"/>
        <v>650.3072420376757</v>
      </c>
      <c r="J183" s="30">
        <f t="shared" si="101"/>
        <v>673.6075279202482</v>
      </c>
      <c r="K183" s="30">
        <f t="shared" si="101"/>
        <v>670.7953411732583</v>
      </c>
      <c r="L183" s="30">
        <f t="shared" si="101"/>
        <v>671.9384730883957</v>
      </c>
      <c r="M183" s="30">
        <f t="shared" si="101"/>
        <v>692.1687909896518</v>
      </c>
      <c r="N183" s="30">
        <f t="shared" si="101"/>
        <v>724.3217495131968</v>
      </c>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row>
    <row r="184" spans="1:44" s="3" customFormat="1" ht="12.75">
      <c r="A184" s="1" t="s">
        <v>150</v>
      </c>
      <c r="B184" s="32">
        <f aca="true" t="shared" si="102" ref="B184:N184">4.76*B$55-3.01-((B183-675)/85)*(0.53*B$55+0.005294*(B183-675))</f>
        <v>2.3969759433064457</v>
      </c>
      <c r="C184" s="32">
        <f t="shared" si="102"/>
        <v>2.470131955529123</v>
      </c>
      <c r="D184" s="32">
        <f t="shared" si="102"/>
        <v>2.203203703443994</v>
      </c>
      <c r="E184" s="32">
        <f t="shared" si="102"/>
        <v>2.224506592461332</v>
      </c>
      <c r="F184" s="32">
        <f t="shared" si="102"/>
        <v>2.017870671841558</v>
      </c>
      <c r="G184" s="32">
        <f t="shared" si="102"/>
        <v>1.2584898823276158</v>
      </c>
      <c r="H184" s="32">
        <f t="shared" si="102"/>
        <v>1.7473920447963736</v>
      </c>
      <c r="I184" s="32">
        <f t="shared" si="102"/>
        <v>1.3956362412297934</v>
      </c>
      <c r="J184" s="32">
        <f t="shared" si="102"/>
        <v>1.689220850296274</v>
      </c>
      <c r="K184" s="32">
        <f t="shared" si="102"/>
        <v>1.3819532265002725</v>
      </c>
      <c r="L184" s="32">
        <f t="shared" si="102"/>
        <v>1.6278045439181459</v>
      </c>
      <c r="M184" s="32">
        <f t="shared" si="102"/>
        <v>1.8893170534144719</v>
      </c>
      <c r="N184" s="32">
        <f t="shared" si="102"/>
        <v>2.295626602393303</v>
      </c>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row>
    <row r="185" spans="7:44" s="3" customFormat="1" ht="12.75">
      <c r="G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row>
    <row r="186" spans="7:44" s="3" customFormat="1" ht="12.75">
      <c r="G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row>
    <row r="187" spans="7:44" s="3" customFormat="1" ht="12.75">
      <c r="G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row>
    <row r="188" spans="1:44" s="3" customFormat="1" ht="12.75">
      <c r="A188" s="8" t="s">
        <v>0</v>
      </c>
      <c r="B188" s="11"/>
      <c r="C188" s="11"/>
      <c r="D188" s="11"/>
      <c r="E188" s="11"/>
      <c r="F188" s="11"/>
      <c r="G188" s="11"/>
      <c r="H188" s="11"/>
      <c r="I188" s="11"/>
      <c r="J188" s="11"/>
      <c r="K188" s="11"/>
      <c r="L188" s="11"/>
      <c r="M188" s="11"/>
      <c r="N188" s="11"/>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row>
    <row r="189" spans="1:44" s="3" customFormat="1" ht="12.75">
      <c r="A189" s="3" t="s">
        <v>1</v>
      </c>
      <c r="B189" s="12">
        <f aca="true" t="shared" si="103" ref="B189:N189">B22/60.09*2+B23/79.9*2+B24/101.94*3+B25/71.85+B26/40.32+B27/70.94+B28/56.08+B29/61.982+B30/94.2</f>
        <v>2.5629067080127723</v>
      </c>
      <c r="C189" s="12">
        <f t="shared" si="103"/>
        <v>2.536691338234039</v>
      </c>
      <c r="D189" s="12">
        <f t="shared" si="103"/>
        <v>2.5771562018615106</v>
      </c>
      <c r="E189" s="12">
        <f t="shared" si="103"/>
        <v>2.519896151559363</v>
      </c>
      <c r="F189" s="12">
        <f t="shared" si="103"/>
        <v>2.570095905857421</v>
      </c>
      <c r="G189" s="12">
        <f t="shared" si="103"/>
        <v>2.581527191485127</v>
      </c>
      <c r="H189" s="12">
        <f t="shared" si="103"/>
        <v>2.610248392875912</v>
      </c>
      <c r="I189" s="12">
        <f t="shared" si="103"/>
        <v>2.5683978013839446</v>
      </c>
      <c r="J189" s="12">
        <f t="shared" si="103"/>
        <v>2.622147467420916</v>
      </c>
      <c r="K189" s="12">
        <f t="shared" si="103"/>
        <v>2.5878687508499225</v>
      </c>
      <c r="L189" s="12">
        <f t="shared" si="103"/>
        <v>2.621419003175338</v>
      </c>
      <c r="M189" s="12">
        <f t="shared" si="103"/>
        <v>2.5667022006062252</v>
      </c>
      <c r="N189" s="12">
        <f t="shared" si="103"/>
        <v>2.6028248891646433</v>
      </c>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row>
    <row r="190" spans="2:44" s="3" customFormat="1" ht="12.75">
      <c r="B190" s="12"/>
      <c r="C190" s="12"/>
      <c r="D190" s="12"/>
      <c r="E190" s="12"/>
      <c r="F190" s="12"/>
      <c r="G190" s="12"/>
      <c r="H190" s="12"/>
      <c r="I190" s="12"/>
      <c r="J190" s="12"/>
      <c r="K190" s="12"/>
      <c r="L190" s="12"/>
      <c r="M190" s="12"/>
      <c r="N190" s="12"/>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row>
    <row r="191" spans="1:44" s="3" customFormat="1" ht="12.75">
      <c r="A191" s="5" t="s">
        <v>55</v>
      </c>
      <c r="B191" s="13"/>
      <c r="C191" s="13"/>
      <c r="D191" s="13"/>
      <c r="E191" s="13"/>
      <c r="F191" s="13"/>
      <c r="G191" s="60"/>
      <c r="H191" s="13"/>
      <c r="I191" s="13"/>
      <c r="J191" s="13"/>
      <c r="K191" s="13"/>
      <c r="L191" s="13"/>
      <c r="M191" s="13"/>
      <c r="N191" s="13"/>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row>
    <row r="192" spans="1:44" s="3" customFormat="1" ht="12.75">
      <c r="A192" s="3" t="s">
        <v>56</v>
      </c>
      <c r="B192" s="3">
        <f aca="true" t="shared" si="104" ref="B192:N192">B22/60.09*2*23/B$189/2</f>
        <v>6.932629172598372</v>
      </c>
      <c r="C192" s="3">
        <f t="shared" si="104"/>
        <v>6.913740757321263</v>
      </c>
      <c r="D192" s="3">
        <f t="shared" si="104"/>
        <v>6.947764791175256</v>
      </c>
      <c r="E192" s="3">
        <f t="shared" si="104"/>
        <v>6.988681073209104</v>
      </c>
      <c r="F192" s="3">
        <f t="shared" si="104"/>
        <v>7.039825667494538</v>
      </c>
      <c r="G192" s="26">
        <f t="shared" si="104"/>
        <v>7.250330221124928</v>
      </c>
      <c r="H192" s="3">
        <f t="shared" si="104"/>
        <v>7.135360166190829</v>
      </c>
      <c r="I192" s="3">
        <f t="shared" si="104"/>
        <v>7.241194978733861</v>
      </c>
      <c r="J192" s="3">
        <f t="shared" si="104"/>
        <v>7.183264937389082</v>
      </c>
      <c r="K192" s="3">
        <f t="shared" si="104"/>
        <v>7.217772805321629</v>
      </c>
      <c r="L192" s="3">
        <f t="shared" si="104"/>
        <v>7.137077058847486</v>
      </c>
      <c r="M192" s="3">
        <f t="shared" si="104"/>
        <v>7.049133756812277</v>
      </c>
      <c r="N192" s="3">
        <f t="shared" si="104"/>
        <v>6.907187434105569</v>
      </c>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row>
    <row r="193" spans="1:44" s="3" customFormat="1" ht="12.75">
      <c r="A193" s="3" t="s">
        <v>57</v>
      </c>
      <c r="B193" s="3">
        <f aca="true" t="shared" si="105" ref="B193:N193">8-B192</f>
        <v>1.0673708274016276</v>
      </c>
      <c r="C193" s="3">
        <f t="shared" si="105"/>
        <v>1.0862592426787367</v>
      </c>
      <c r="D193" s="3">
        <f t="shared" si="105"/>
        <v>1.0522352088247438</v>
      </c>
      <c r="E193" s="3">
        <f t="shared" si="105"/>
        <v>1.0113189267908957</v>
      </c>
      <c r="F193" s="3">
        <f t="shared" si="105"/>
        <v>0.9601743325054617</v>
      </c>
      <c r="G193" s="26">
        <f t="shared" si="105"/>
        <v>0.7496697788750719</v>
      </c>
      <c r="H193" s="3">
        <f t="shared" si="105"/>
        <v>0.8646398338091714</v>
      </c>
      <c r="I193" s="3">
        <f t="shared" si="105"/>
        <v>0.7588050212661388</v>
      </c>
      <c r="J193" s="3">
        <f t="shared" si="105"/>
        <v>0.8167350626109178</v>
      </c>
      <c r="K193" s="3">
        <f t="shared" si="105"/>
        <v>0.782227194678371</v>
      </c>
      <c r="L193" s="3">
        <f t="shared" si="105"/>
        <v>0.8629229411525143</v>
      </c>
      <c r="M193" s="3">
        <f t="shared" si="105"/>
        <v>0.9508662431877228</v>
      </c>
      <c r="N193" s="3">
        <f t="shared" si="105"/>
        <v>1.0928125658944312</v>
      </c>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row>
    <row r="194" spans="7:44" s="3" customFormat="1" ht="12.75">
      <c r="G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row>
    <row r="195" spans="1:44" s="3" customFormat="1" ht="12.75">
      <c r="A195" s="3" t="s">
        <v>58</v>
      </c>
      <c r="B195" s="3">
        <f aca="true" t="shared" si="106" ref="B195:N195">B193+B198</f>
        <v>1.1990230072329597</v>
      </c>
      <c r="C195" s="3">
        <f t="shared" si="106"/>
        <v>1.2220875324587237</v>
      </c>
      <c r="D195" s="3">
        <f t="shared" si="106"/>
        <v>1.171382086352682</v>
      </c>
      <c r="E195" s="3">
        <f t="shared" si="106"/>
        <v>1.1550220461985201</v>
      </c>
      <c r="F195" s="3">
        <f t="shared" si="106"/>
        <v>1.1078812998259002</v>
      </c>
      <c r="G195" s="26">
        <f t="shared" si="106"/>
        <v>0.8897219005709883</v>
      </c>
      <c r="H195" s="3">
        <f t="shared" si="106"/>
        <v>1.0095880758079998</v>
      </c>
      <c r="I195" s="3">
        <f t="shared" si="106"/>
        <v>0.9135961412661104</v>
      </c>
      <c r="J195" s="3">
        <f t="shared" si="106"/>
        <v>0.9964021449069284</v>
      </c>
      <c r="K195" s="3">
        <f t="shared" si="106"/>
        <v>0.927646666585396</v>
      </c>
      <c r="L195" s="3">
        <f t="shared" si="106"/>
        <v>0.9794652341354994</v>
      </c>
      <c r="M195" s="3">
        <f t="shared" si="106"/>
        <v>1.0671523142810224</v>
      </c>
      <c r="N195" s="3">
        <f t="shared" si="106"/>
        <v>1.2378455599922216</v>
      </c>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row>
    <row r="196" spans="7:44" s="3" customFormat="1" ht="12.75">
      <c r="G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row>
    <row r="197" spans="1:44" s="3" customFormat="1" ht="12.75">
      <c r="A197" s="5" t="s">
        <v>59</v>
      </c>
      <c r="G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row>
    <row r="198" spans="1:44" s="3" customFormat="1" ht="12.75">
      <c r="A198" s="3" t="s">
        <v>60</v>
      </c>
      <c r="B198" s="3">
        <f aca="true" t="shared" si="107" ref="B198:N198">B24/101.94*3*23/B$189*2/3-B193</f>
        <v>0.13165217983133215</v>
      </c>
      <c r="C198" s="3">
        <f t="shared" si="107"/>
        <v>0.13582828977998695</v>
      </c>
      <c r="D198" s="3">
        <f t="shared" si="107"/>
        <v>0.11914687752793829</v>
      </c>
      <c r="E198" s="3">
        <f t="shared" si="107"/>
        <v>0.14370311940762437</v>
      </c>
      <c r="F198" s="3">
        <f t="shared" si="107"/>
        <v>0.14770696732043853</v>
      </c>
      <c r="G198" s="26">
        <f t="shared" si="107"/>
        <v>0.1400521216959164</v>
      </c>
      <c r="H198" s="3">
        <f t="shared" si="107"/>
        <v>0.1449482419988284</v>
      </c>
      <c r="I198" s="3">
        <f t="shared" si="107"/>
        <v>0.15479111999997164</v>
      </c>
      <c r="J198" s="3">
        <f t="shared" si="107"/>
        <v>0.17966708229601058</v>
      </c>
      <c r="K198" s="3">
        <f t="shared" si="107"/>
        <v>0.14541947190702498</v>
      </c>
      <c r="L198" s="3">
        <f t="shared" si="107"/>
        <v>0.11654229298298502</v>
      </c>
      <c r="M198" s="3">
        <f t="shared" si="107"/>
        <v>0.11628607109329958</v>
      </c>
      <c r="N198" s="3">
        <f t="shared" si="107"/>
        <v>0.14503299409779036</v>
      </c>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row>
    <row r="199" spans="1:44" s="3" customFormat="1" ht="12.75">
      <c r="A199" s="3" t="s">
        <v>61</v>
      </c>
      <c r="B199" s="3">
        <f aca="true" t="shared" si="108" ref="B199:N199">B23/79.9*2*23/B$189/2</f>
        <v>0.14264349784128696</v>
      </c>
      <c r="C199" s="3">
        <f t="shared" si="108"/>
        <v>0.1486567816822369</v>
      </c>
      <c r="D199" s="3">
        <f t="shared" si="108"/>
        <v>0.1452057007429224</v>
      </c>
      <c r="E199" s="3">
        <f t="shared" si="108"/>
        <v>0.14507819191104768</v>
      </c>
      <c r="F199" s="3">
        <f t="shared" si="108"/>
        <v>0.14112445313710073</v>
      </c>
      <c r="G199" s="26">
        <f t="shared" si="108"/>
        <v>0.05798393655501033</v>
      </c>
      <c r="H199" s="3">
        <f t="shared" si="108"/>
        <v>0.07057960014941107</v>
      </c>
      <c r="I199" s="3">
        <f t="shared" si="108"/>
        <v>0.06724655143978095</v>
      </c>
      <c r="J199" s="3">
        <f t="shared" si="108"/>
        <v>0.08892194698032292</v>
      </c>
      <c r="K199" s="3">
        <f t="shared" si="108"/>
        <v>0.06451590650342397</v>
      </c>
      <c r="L199" s="3">
        <f t="shared" si="108"/>
        <v>0.0823580161447741</v>
      </c>
      <c r="M199" s="3">
        <f t="shared" si="108"/>
        <v>0.08411371936126454</v>
      </c>
      <c r="N199" s="3">
        <f t="shared" si="108"/>
        <v>0.142667751301025</v>
      </c>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row>
    <row r="200" spans="1:44" s="3" customFormat="1" ht="12.75">
      <c r="A200" s="3" t="s">
        <v>62</v>
      </c>
      <c r="B200" s="3">
        <v>0</v>
      </c>
      <c r="C200" s="3">
        <v>0</v>
      </c>
      <c r="D200" s="3">
        <v>0</v>
      </c>
      <c r="E200" s="3">
        <v>0</v>
      </c>
      <c r="F200" s="3">
        <v>0</v>
      </c>
      <c r="G200" s="26">
        <v>0</v>
      </c>
      <c r="H200" s="3">
        <v>0</v>
      </c>
      <c r="I200" s="3">
        <v>0</v>
      </c>
      <c r="J200" s="3">
        <v>0</v>
      </c>
      <c r="K200" s="3">
        <v>0</v>
      </c>
      <c r="L200" s="3">
        <v>0</v>
      </c>
      <c r="M200" s="3">
        <v>0</v>
      </c>
      <c r="N200" s="3">
        <v>0</v>
      </c>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row>
    <row r="201" spans="1:44" s="3" customFormat="1" ht="12.75">
      <c r="A201" s="3" t="s">
        <v>63</v>
      </c>
      <c r="B201" s="3">
        <f aca="true" t="shared" si="109" ref="B201:N201">B26/40.32*23/B$189</f>
        <v>3.042587168355565</v>
      </c>
      <c r="C201" s="3">
        <f t="shared" si="109"/>
        <v>3.022309632674485</v>
      </c>
      <c r="D201" s="3">
        <f t="shared" si="109"/>
        <v>3.0279776689262436</v>
      </c>
      <c r="E201" s="3">
        <f t="shared" si="109"/>
        <v>3.003970007110484</v>
      </c>
      <c r="F201" s="3">
        <f t="shared" si="109"/>
        <v>3.007442121098994</v>
      </c>
      <c r="G201" s="26">
        <f t="shared" si="109"/>
        <v>3.1686900493593546</v>
      </c>
      <c r="H201" s="3">
        <f t="shared" si="109"/>
        <v>3.144751040402834</v>
      </c>
      <c r="I201" s="3">
        <f t="shared" si="109"/>
        <v>3.2182028015855586</v>
      </c>
      <c r="J201" s="3">
        <f t="shared" si="109"/>
        <v>3.0956731491232676</v>
      </c>
      <c r="K201" s="3">
        <f t="shared" si="109"/>
        <v>3.220440518173596</v>
      </c>
      <c r="L201" s="3">
        <f t="shared" si="109"/>
        <v>3.105237643579217</v>
      </c>
      <c r="M201" s="3">
        <f t="shared" si="109"/>
        <v>3.113651234764556</v>
      </c>
      <c r="N201" s="3">
        <f t="shared" si="109"/>
        <v>2.9674337100484633</v>
      </c>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row>
    <row r="202" spans="1:44" s="3" customFormat="1" ht="12.75">
      <c r="A202" s="3" t="s">
        <v>64</v>
      </c>
      <c r="B202" s="3">
        <f aca="true" t="shared" si="110" ref="B202:N202">B27/70.94*23/B$189</f>
        <v>0.09614295060164307</v>
      </c>
      <c r="C202" s="3">
        <f t="shared" si="110"/>
        <v>0.08818975105210296</v>
      </c>
      <c r="D202" s="3">
        <f t="shared" si="110"/>
        <v>0.08806309603512882</v>
      </c>
      <c r="E202" s="3">
        <f t="shared" si="110"/>
        <v>0.09649732445817064</v>
      </c>
      <c r="F202" s="3">
        <f t="shared" si="110"/>
        <v>0.1009200156237943</v>
      </c>
      <c r="G202" s="26">
        <f t="shared" si="110"/>
        <v>0.10047313072250279</v>
      </c>
      <c r="H202" s="3">
        <f t="shared" si="110"/>
        <v>0.11054645532811118</v>
      </c>
      <c r="I202" s="3">
        <f t="shared" si="110"/>
        <v>0.10982307889844688</v>
      </c>
      <c r="J202" s="3">
        <f t="shared" si="110"/>
        <v>0.10015313735167468</v>
      </c>
      <c r="K202" s="3">
        <f t="shared" si="110"/>
        <v>0.1064911044345401</v>
      </c>
      <c r="L202" s="3">
        <f t="shared" si="110"/>
        <v>0.10018096883514024</v>
      </c>
      <c r="M202" s="3">
        <f t="shared" si="110"/>
        <v>0.09221127542870929</v>
      </c>
      <c r="N202" s="3">
        <f t="shared" si="110"/>
        <v>0.08632268405622467</v>
      </c>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row>
    <row r="203" spans="1:44" s="3" customFormat="1" ht="12.75">
      <c r="A203" s="3" t="s">
        <v>65</v>
      </c>
      <c r="B203" s="3">
        <f aca="true" t="shared" si="111" ref="B203:N203">IF((5-SUM(B198:B202)&gt;B25/71.85*23/B$189),B25/71.85*23/B$189,5-SUM(B198:B202))</f>
        <v>1.5869742033701728</v>
      </c>
      <c r="C203" s="3">
        <f t="shared" si="111"/>
        <v>1.605015544811188</v>
      </c>
      <c r="D203" s="3">
        <f t="shared" si="111"/>
        <v>1.619606656767767</v>
      </c>
      <c r="E203" s="3">
        <f t="shared" si="111"/>
        <v>1.6107513571126733</v>
      </c>
      <c r="F203" s="3">
        <f t="shared" si="111"/>
        <v>1.6028064428196727</v>
      </c>
      <c r="G203" s="26">
        <f t="shared" si="111"/>
        <v>1.532800761667216</v>
      </c>
      <c r="H203" s="3">
        <f t="shared" si="111"/>
        <v>1.5291746621208158</v>
      </c>
      <c r="I203" s="3">
        <f t="shared" si="111"/>
        <v>1.449936448076242</v>
      </c>
      <c r="J203" s="3">
        <f t="shared" si="111"/>
        <v>1.5355846842487244</v>
      </c>
      <c r="K203" s="3">
        <f t="shared" si="111"/>
        <v>1.4631329989814148</v>
      </c>
      <c r="L203" s="3">
        <f t="shared" si="111"/>
        <v>1.595681078457884</v>
      </c>
      <c r="M203" s="3">
        <f t="shared" si="111"/>
        <v>1.5937376993521704</v>
      </c>
      <c r="N203" s="3">
        <f t="shared" si="111"/>
        <v>1.658542860496497</v>
      </c>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row>
    <row r="204" spans="1:44" s="3" customFormat="1" ht="12.75">
      <c r="A204" s="3" t="s">
        <v>66</v>
      </c>
      <c r="B204" s="5">
        <f aca="true" t="shared" si="112" ref="B204:N204">IF(SUM(B198:B203)=5,0,5-SUM(B198:B203))</f>
        <v>0</v>
      </c>
      <c r="C204" s="5">
        <f t="shared" si="112"/>
        <v>0</v>
      </c>
      <c r="D204" s="5">
        <f t="shared" si="112"/>
        <v>0</v>
      </c>
      <c r="E204" s="5">
        <f t="shared" si="112"/>
        <v>0</v>
      </c>
      <c r="F204" s="5">
        <f t="shared" si="112"/>
        <v>0</v>
      </c>
      <c r="G204" s="59">
        <f t="shared" si="112"/>
        <v>0</v>
      </c>
      <c r="H204" s="5">
        <f t="shared" si="112"/>
        <v>0</v>
      </c>
      <c r="I204" s="5">
        <f t="shared" si="112"/>
        <v>0</v>
      </c>
      <c r="J204" s="5">
        <f t="shared" si="112"/>
        <v>0</v>
      </c>
      <c r="K204" s="5">
        <f t="shared" si="112"/>
        <v>0</v>
      </c>
      <c r="L204" s="5">
        <f t="shared" si="112"/>
        <v>0</v>
      </c>
      <c r="M204" s="5">
        <f t="shared" si="112"/>
        <v>0</v>
      </c>
      <c r="N204" s="5">
        <f t="shared" si="112"/>
        <v>0</v>
      </c>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row>
    <row r="205" spans="2:44" s="3" customFormat="1" ht="12.75">
      <c r="B205" s="3">
        <f aca="true" t="shared" si="113" ref="B205:N205">SUM(B198:B204)</f>
        <v>5</v>
      </c>
      <c r="C205" s="3">
        <f t="shared" si="113"/>
        <v>5</v>
      </c>
      <c r="D205" s="3">
        <f t="shared" si="113"/>
        <v>5</v>
      </c>
      <c r="E205" s="3">
        <f t="shared" si="113"/>
        <v>5</v>
      </c>
      <c r="F205" s="3">
        <f t="shared" si="113"/>
        <v>5</v>
      </c>
      <c r="G205" s="26">
        <f t="shared" si="113"/>
        <v>5</v>
      </c>
      <c r="H205" s="3">
        <f t="shared" si="113"/>
        <v>5</v>
      </c>
      <c r="I205" s="3">
        <f t="shared" si="113"/>
        <v>5</v>
      </c>
      <c r="J205" s="3">
        <f t="shared" si="113"/>
        <v>5</v>
      </c>
      <c r="K205" s="3">
        <f t="shared" si="113"/>
        <v>5</v>
      </c>
      <c r="L205" s="3">
        <f t="shared" si="113"/>
        <v>5</v>
      </c>
      <c r="M205" s="3">
        <f t="shared" si="113"/>
        <v>5</v>
      </c>
      <c r="N205" s="3">
        <f t="shared" si="113"/>
        <v>5</v>
      </c>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row>
    <row r="206" spans="1:44" s="3" customFormat="1" ht="12.75">
      <c r="A206" s="5" t="s">
        <v>67</v>
      </c>
      <c r="G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row>
    <row r="207" spans="1:44" s="3" customFormat="1" ht="12.75">
      <c r="A207" s="3" t="s">
        <v>68</v>
      </c>
      <c r="B207" s="3">
        <f aca="true" t="shared" si="114" ref="B207:N207">B25/71.85*23/B$189-B203</f>
        <v>0.18787861155530727</v>
      </c>
      <c r="C207" s="3">
        <f t="shared" si="114"/>
        <v>0.19827483727308737</v>
      </c>
      <c r="D207" s="3">
        <f t="shared" si="114"/>
        <v>0.175243381466212</v>
      </c>
      <c r="E207" s="3">
        <f t="shared" si="114"/>
        <v>0.16009627076119348</v>
      </c>
      <c r="F207" s="3">
        <f t="shared" si="114"/>
        <v>0.21939363093101094</v>
      </c>
      <c r="G207" s="26">
        <f t="shared" si="114"/>
        <v>0.16352968479164787</v>
      </c>
      <c r="H207" s="3">
        <f t="shared" si="114"/>
        <v>0.22575154793555208</v>
      </c>
      <c r="I207" s="3">
        <f t="shared" si="114"/>
        <v>0.2550654682616533</v>
      </c>
      <c r="J207" s="3">
        <f t="shared" si="114"/>
        <v>0.20283223624723168</v>
      </c>
      <c r="K207" s="3">
        <f t="shared" si="114"/>
        <v>0.20430121816939772</v>
      </c>
      <c r="L207" s="3">
        <f t="shared" si="114"/>
        <v>0.17863192120302207</v>
      </c>
      <c r="M207" s="3">
        <f t="shared" si="114"/>
        <v>0.19470377181792742</v>
      </c>
      <c r="N207" s="3">
        <f t="shared" si="114"/>
        <v>0.15673232127571413</v>
      </c>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row>
    <row r="208" spans="1:44" s="3" customFormat="1" ht="12.75">
      <c r="A208" s="3" t="s">
        <v>66</v>
      </c>
      <c r="B208" s="3">
        <f aca="true" t="shared" si="115" ref="B208:N208">IF(B207+B28/56.08*23/B$189-B204&lt;=2,B28/56.08*23/B$189-B204,2-B207)</f>
        <v>1.8121213884446927</v>
      </c>
      <c r="C208" s="3">
        <f t="shared" si="115"/>
        <v>1.8017251627269126</v>
      </c>
      <c r="D208" s="3">
        <f t="shared" si="115"/>
        <v>1.824756618533788</v>
      </c>
      <c r="E208" s="3">
        <f t="shared" si="115"/>
        <v>1.8391435622160643</v>
      </c>
      <c r="F208" s="3">
        <f t="shared" si="115"/>
        <v>1.780606369068989</v>
      </c>
      <c r="G208" s="26">
        <f t="shared" si="115"/>
        <v>1.8364703152083521</v>
      </c>
      <c r="H208" s="3">
        <f t="shared" si="115"/>
        <v>1.774248452064448</v>
      </c>
      <c r="I208" s="3">
        <f t="shared" si="115"/>
        <v>1.7449345317383467</v>
      </c>
      <c r="J208" s="3">
        <f t="shared" si="115"/>
        <v>1.784630714106264</v>
      </c>
      <c r="K208" s="3">
        <f t="shared" si="115"/>
        <v>1.7956987818306023</v>
      </c>
      <c r="L208" s="3">
        <f t="shared" si="115"/>
        <v>1.821368078796978</v>
      </c>
      <c r="M208" s="3">
        <f t="shared" si="115"/>
        <v>1.8052962281820726</v>
      </c>
      <c r="N208" s="3">
        <f t="shared" si="115"/>
        <v>1.8432676787242859</v>
      </c>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row>
    <row r="209" spans="1:44" s="3" customFormat="1" ht="12.75">
      <c r="A209" s="3" t="s">
        <v>69</v>
      </c>
      <c r="B209" s="5">
        <f aca="true" t="shared" si="116" ref="B209:N209">IF(2-B207-B208&gt;=0,2-B207-B208,0)</f>
        <v>0</v>
      </c>
      <c r="C209" s="5">
        <f t="shared" si="116"/>
        <v>0</v>
      </c>
      <c r="D209" s="5">
        <f t="shared" si="116"/>
        <v>0</v>
      </c>
      <c r="E209" s="5">
        <f t="shared" si="116"/>
        <v>0.0007601670227421753</v>
      </c>
      <c r="F209" s="5">
        <f t="shared" si="116"/>
        <v>0</v>
      </c>
      <c r="G209" s="59">
        <f t="shared" si="116"/>
        <v>0</v>
      </c>
      <c r="H209" s="5">
        <f t="shared" si="116"/>
        <v>0</v>
      </c>
      <c r="I209" s="5">
        <f t="shared" si="116"/>
        <v>0</v>
      </c>
      <c r="J209" s="5">
        <f t="shared" si="116"/>
        <v>0.012537049646504261</v>
      </c>
      <c r="K209" s="5">
        <f t="shared" si="116"/>
        <v>0</v>
      </c>
      <c r="L209" s="5">
        <f t="shared" si="116"/>
        <v>0</v>
      </c>
      <c r="M209" s="5">
        <f t="shared" si="116"/>
        <v>0</v>
      </c>
      <c r="N209" s="5">
        <f t="shared" si="116"/>
        <v>0</v>
      </c>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row>
    <row r="210" spans="2:44" s="3" customFormat="1" ht="12.75">
      <c r="B210" s="3">
        <f aca="true" t="shared" si="117" ref="B210:N210">SUM(B207:B209)</f>
        <v>2</v>
      </c>
      <c r="C210" s="3">
        <f t="shared" si="117"/>
        <v>2</v>
      </c>
      <c r="D210" s="3">
        <f t="shared" si="117"/>
        <v>2</v>
      </c>
      <c r="E210" s="3">
        <f t="shared" si="117"/>
        <v>2</v>
      </c>
      <c r="F210" s="3">
        <f t="shared" si="117"/>
        <v>2</v>
      </c>
      <c r="G210" s="26">
        <f t="shared" si="117"/>
        <v>2</v>
      </c>
      <c r="H210" s="3">
        <f t="shared" si="117"/>
        <v>2</v>
      </c>
      <c r="I210" s="3">
        <f t="shared" si="117"/>
        <v>2</v>
      </c>
      <c r="J210" s="3">
        <f t="shared" si="117"/>
        <v>2</v>
      </c>
      <c r="K210" s="3">
        <f t="shared" si="117"/>
        <v>2</v>
      </c>
      <c r="L210" s="3">
        <f t="shared" si="117"/>
        <v>2</v>
      </c>
      <c r="M210" s="3">
        <f t="shared" si="117"/>
        <v>2</v>
      </c>
      <c r="N210" s="3">
        <f t="shared" si="117"/>
        <v>2</v>
      </c>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row>
    <row r="211" spans="1:44" s="3" customFormat="1" ht="12.75">
      <c r="A211" s="5" t="s">
        <v>70</v>
      </c>
      <c r="G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row>
    <row r="212" spans="1:44" s="3" customFormat="1" ht="12.75">
      <c r="A212" s="9" t="s">
        <v>66</v>
      </c>
      <c r="B212" s="3">
        <f aca="true" t="shared" si="118" ref="B212:N212">B28/56.08*23/B$189-B208-B204</f>
        <v>0.0425649340255021</v>
      </c>
      <c r="C212" s="3">
        <f t="shared" si="118"/>
        <v>0.022008039300629667</v>
      </c>
      <c r="D212" s="3">
        <f t="shared" si="118"/>
        <v>0.019674857402739665</v>
      </c>
      <c r="E212" s="3">
        <f t="shared" si="118"/>
        <v>0</v>
      </c>
      <c r="F212" s="3">
        <f t="shared" si="118"/>
        <v>0.021018811594654352</v>
      </c>
      <c r="G212" s="26">
        <f t="shared" si="118"/>
        <v>0.012781729188237723</v>
      </c>
      <c r="H212" s="3">
        <f t="shared" si="118"/>
        <v>0.057798267064376185</v>
      </c>
      <c r="I212" s="3">
        <f t="shared" si="118"/>
        <v>0.021154805756476103</v>
      </c>
      <c r="J212" s="3">
        <f t="shared" si="118"/>
        <v>0</v>
      </c>
      <c r="K212" s="3">
        <f t="shared" si="118"/>
        <v>0.04902167972734528</v>
      </c>
      <c r="L212" s="3">
        <f t="shared" si="118"/>
        <v>0.05763025535682842</v>
      </c>
      <c r="M212" s="3">
        <f t="shared" si="118"/>
        <v>0.07381146181100462</v>
      </c>
      <c r="N212" s="3">
        <f t="shared" si="118"/>
        <v>0.028669718957162527</v>
      </c>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row>
    <row r="213" spans="1:44" s="3" customFormat="1" ht="12.75">
      <c r="A213" s="3" t="s">
        <v>69</v>
      </c>
      <c r="B213" s="3">
        <f aca="true" t="shared" si="119" ref="B213:N213">B29/61.982*23/B$189*2-B209</f>
        <v>0.3938205338615099</v>
      </c>
      <c r="C213" s="3">
        <f t="shared" si="119"/>
        <v>0.43007277855165954</v>
      </c>
      <c r="D213" s="3">
        <f t="shared" si="119"/>
        <v>0.4233200499737757</v>
      </c>
      <c r="E213" s="3">
        <f t="shared" si="119"/>
        <v>0.4115629063808341</v>
      </c>
      <c r="F213" s="3">
        <f t="shared" si="119"/>
        <v>0.3551796113094495</v>
      </c>
      <c r="G213" s="26">
        <f t="shared" si="119"/>
        <v>0.35648168935672414</v>
      </c>
      <c r="H213" s="3">
        <f t="shared" si="119"/>
        <v>0.3525592341528111</v>
      </c>
      <c r="I213" s="3">
        <f t="shared" si="119"/>
        <v>0.32073985999390864</v>
      </c>
      <c r="J213" s="3">
        <f t="shared" si="119"/>
        <v>0.3525738884637183</v>
      </c>
      <c r="K213" s="3">
        <f t="shared" si="119"/>
        <v>0.3097232124116936</v>
      </c>
      <c r="L213" s="3">
        <f t="shared" si="119"/>
        <v>0.3397324637458592</v>
      </c>
      <c r="M213" s="3">
        <f t="shared" si="119"/>
        <v>0.3874552602210599</v>
      </c>
      <c r="N213" s="3">
        <f t="shared" si="119"/>
        <v>0.4362533006781015</v>
      </c>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row>
    <row r="214" spans="1:44" s="3" customFormat="1" ht="12.75">
      <c r="A214" s="3" t="s">
        <v>71</v>
      </c>
      <c r="B214" s="5">
        <f aca="true" t="shared" si="120" ref="B214:N214">B30/94.2*23/B$189*2</f>
        <v>0.1714812499752068</v>
      </c>
      <c r="C214" s="5">
        <f t="shared" si="120"/>
        <v>0.17902853238135485</v>
      </c>
      <c r="D214" s="5">
        <f t="shared" si="120"/>
        <v>0.18000716503170872</v>
      </c>
      <c r="E214" s="5">
        <f t="shared" si="120"/>
        <v>0.16665668420308158</v>
      </c>
      <c r="F214" s="5">
        <f t="shared" si="120"/>
        <v>0.13300122441205883</v>
      </c>
      <c r="G214" s="59">
        <f t="shared" si="120"/>
        <v>0.1116046363359359</v>
      </c>
      <c r="H214" s="5">
        <f t="shared" si="120"/>
        <v>0.11037662322994254</v>
      </c>
      <c r="I214" s="5">
        <f t="shared" si="120"/>
        <v>0.10647132687974377</v>
      </c>
      <c r="J214" s="5">
        <f t="shared" si="120"/>
        <v>0.11918724753704471</v>
      </c>
      <c r="K214" s="5">
        <f t="shared" si="120"/>
        <v>0.1000093378981073</v>
      </c>
      <c r="L214" s="5">
        <f t="shared" si="120"/>
        <v>0.12667164142046333</v>
      </c>
      <c r="M214" s="5">
        <f t="shared" si="120"/>
        <v>0.13127454952882875</v>
      </c>
      <c r="N214" s="5">
        <f t="shared" si="120"/>
        <v>0.16885133060216112</v>
      </c>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row>
    <row r="215" spans="1:44" s="3" customFormat="1" ht="12.75">
      <c r="A215" s="3" t="s">
        <v>72</v>
      </c>
      <c r="B215" s="3">
        <f aca="true" t="shared" si="121" ref="B215:N215">B213+B214+B212</f>
        <v>0.6078667178622188</v>
      </c>
      <c r="C215" s="3">
        <f t="shared" si="121"/>
        <v>0.631109350233644</v>
      </c>
      <c r="D215" s="3">
        <f t="shared" si="121"/>
        <v>0.6230020724082241</v>
      </c>
      <c r="E215" s="3">
        <f t="shared" si="121"/>
        <v>0.5782195905839157</v>
      </c>
      <c r="F215" s="3">
        <f t="shared" si="121"/>
        <v>0.5091996473161627</v>
      </c>
      <c r="G215" s="26">
        <f t="shared" si="121"/>
        <v>0.4808680548808978</v>
      </c>
      <c r="H215" s="3">
        <f t="shared" si="121"/>
        <v>0.5207341244471299</v>
      </c>
      <c r="I215" s="3">
        <f t="shared" si="121"/>
        <v>0.4483659926301285</v>
      </c>
      <c r="J215" s="3">
        <f t="shared" si="121"/>
        <v>0.47176113600076297</v>
      </c>
      <c r="K215" s="3">
        <f t="shared" si="121"/>
        <v>0.45875423003714616</v>
      </c>
      <c r="L215" s="3">
        <f t="shared" si="121"/>
        <v>0.524034360523151</v>
      </c>
      <c r="M215" s="3">
        <f t="shared" si="121"/>
        <v>0.5925412715608933</v>
      </c>
      <c r="N215" s="3">
        <f t="shared" si="121"/>
        <v>0.6337743502374251</v>
      </c>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row>
    <row r="216" spans="7:44" s="3" customFormat="1" ht="12.75">
      <c r="G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row>
    <row r="217" spans="1:44" s="3" customFormat="1" ht="12.75">
      <c r="A217" s="5" t="s">
        <v>73</v>
      </c>
      <c r="G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row>
    <row r="218" spans="1:44" s="3" customFormat="1" ht="12.75">
      <c r="A218" s="3" t="s">
        <v>74</v>
      </c>
      <c r="B218" s="3">
        <v>0</v>
      </c>
      <c r="C218" s="3">
        <v>0</v>
      </c>
      <c r="D218" s="3">
        <v>0</v>
      </c>
      <c r="E218" s="3">
        <v>0</v>
      </c>
      <c r="F218" s="3">
        <v>0</v>
      </c>
      <c r="G218" s="26">
        <v>0</v>
      </c>
      <c r="H218" s="3">
        <v>0</v>
      </c>
      <c r="I218" s="3">
        <v>0</v>
      </c>
      <c r="J218" s="3">
        <v>0</v>
      </c>
      <c r="K218" s="3">
        <v>0</v>
      </c>
      <c r="L218" s="3">
        <v>0</v>
      </c>
      <c r="M218" s="3">
        <v>0</v>
      </c>
      <c r="N218" s="3">
        <v>0</v>
      </c>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row>
    <row r="219" spans="1:44" s="3" customFormat="1" ht="12.75">
      <c r="A219" s="3" t="s">
        <v>75</v>
      </c>
      <c r="B219" s="3">
        <f aca="true" t="shared" si="122" ref="B219:N219">2-(B218+B220+B221)</f>
        <v>2</v>
      </c>
      <c r="C219" s="3">
        <f t="shared" si="122"/>
        <v>2</v>
      </c>
      <c r="D219" s="3">
        <f t="shared" si="122"/>
        <v>2</v>
      </c>
      <c r="E219" s="3">
        <f t="shared" si="122"/>
        <v>2</v>
      </c>
      <c r="F219" s="3">
        <f t="shared" si="122"/>
        <v>2</v>
      </c>
      <c r="G219" s="26">
        <f t="shared" si="122"/>
        <v>2</v>
      </c>
      <c r="H219" s="3">
        <f t="shared" si="122"/>
        <v>2</v>
      </c>
      <c r="I219" s="3">
        <f t="shared" si="122"/>
        <v>2</v>
      </c>
      <c r="J219" s="3">
        <f t="shared" si="122"/>
        <v>2</v>
      </c>
      <c r="K219" s="3">
        <f t="shared" si="122"/>
        <v>2</v>
      </c>
      <c r="L219" s="3">
        <f t="shared" si="122"/>
        <v>2</v>
      </c>
      <c r="M219" s="3">
        <f t="shared" si="122"/>
        <v>2</v>
      </c>
      <c r="N219" s="3">
        <f t="shared" si="122"/>
        <v>2</v>
      </c>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row>
    <row r="220" spans="1:44" s="3" customFormat="1" ht="12.75">
      <c r="A220" s="3" t="s">
        <v>108</v>
      </c>
      <c r="B220" s="3">
        <f aca="true" t="shared" si="123" ref="B220:N220">B31/19*23/B$189</f>
        <v>0</v>
      </c>
      <c r="C220" s="3">
        <f t="shared" si="123"/>
        <v>0</v>
      </c>
      <c r="D220" s="3">
        <f t="shared" si="123"/>
        <v>0</v>
      </c>
      <c r="E220" s="3">
        <f t="shared" si="123"/>
        <v>0</v>
      </c>
      <c r="F220" s="3">
        <f t="shared" si="123"/>
        <v>0</v>
      </c>
      <c r="G220" s="26">
        <f t="shared" si="123"/>
        <v>0</v>
      </c>
      <c r="H220" s="3">
        <f t="shared" si="123"/>
        <v>0</v>
      </c>
      <c r="I220" s="3">
        <f t="shared" si="123"/>
        <v>0</v>
      </c>
      <c r="J220" s="3">
        <f t="shared" si="123"/>
        <v>0</v>
      </c>
      <c r="K220" s="3">
        <f t="shared" si="123"/>
        <v>0</v>
      </c>
      <c r="L220" s="3">
        <f t="shared" si="123"/>
        <v>0</v>
      </c>
      <c r="M220" s="3">
        <f t="shared" si="123"/>
        <v>0</v>
      </c>
      <c r="N220" s="3">
        <f t="shared" si="123"/>
        <v>0</v>
      </c>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row>
    <row r="221" spans="1:44" s="3" customFormat="1" ht="12.75">
      <c r="A221" s="3" t="s">
        <v>109</v>
      </c>
      <c r="B221" s="5">
        <f aca="true" t="shared" si="124" ref="B221:N221">B32/35.457*23/B$189</f>
        <v>0</v>
      </c>
      <c r="C221" s="5">
        <f t="shared" si="124"/>
        <v>0</v>
      </c>
      <c r="D221" s="5">
        <f t="shared" si="124"/>
        <v>0</v>
      </c>
      <c r="E221" s="5">
        <f t="shared" si="124"/>
        <v>0</v>
      </c>
      <c r="F221" s="5">
        <f t="shared" si="124"/>
        <v>0</v>
      </c>
      <c r="G221" s="59">
        <f t="shared" si="124"/>
        <v>0</v>
      </c>
      <c r="H221" s="5">
        <f t="shared" si="124"/>
        <v>0</v>
      </c>
      <c r="I221" s="5">
        <f t="shared" si="124"/>
        <v>0</v>
      </c>
      <c r="J221" s="5">
        <f t="shared" si="124"/>
        <v>0</v>
      </c>
      <c r="K221" s="5">
        <f t="shared" si="124"/>
        <v>0</v>
      </c>
      <c r="L221" s="5">
        <f t="shared" si="124"/>
        <v>0</v>
      </c>
      <c r="M221" s="5">
        <f t="shared" si="124"/>
        <v>0</v>
      </c>
      <c r="N221" s="5">
        <f t="shared" si="124"/>
        <v>0</v>
      </c>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row>
    <row r="222" spans="2:44" s="3" customFormat="1" ht="12.75">
      <c r="B222" s="3">
        <f aca="true" t="shared" si="125" ref="B222:N222">SUM(B218:B221)</f>
        <v>2</v>
      </c>
      <c r="C222" s="3">
        <f t="shared" si="125"/>
        <v>2</v>
      </c>
      <c r="D222" s="3">
        <f t="shared" si="125"/>
        <v>2</v>
      </c>
      <c r="E222" s="3">
        <f t="shared" si="125"/>
        <v>2</v>
      </c>
      <c r="F222" s="3">
        <f t="shared" si="125"/>
        <v>2</v>
      </c>
      <c r="G222" s="26">
        <f t="shared" si="125"/>
        <v>2</v>
      </c>
      <c r="H222" s="3">
        <f t="shared" si="125"/>
        <v>2</v>
      </c>
      <c r="I222" s="3">
        <f t="shared" si="125"/>
        <v>2</v>
      </c>
      <c r="J222" s="3">
        <f t="shared" si="125"/>
        <v>2</v>
      </c>
      <c r="K222" s="3">
        <f t="shared" si="125"/>
        <v>2</v>
      </c>
      <c r="L222" s="3">
        <f t="shared" si="125"/>
        <v>2</v>
      </c>
      <c r="M222" s="3">
        <f t="shared" si="125"/>
        <v>2</v>
      </c>
      <c r="N222" s="3">
        <f t="shared" si="125"/>
        <v>2</v>
      </c>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row>
    <row r="223" spans="7:44" s="3" customFormat="1" ht="12.75">
      <c r="G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row>
    <row r="224" spans="1:44" s="3" customFormat="1" ht="12.75">
      <c r="A224" s="3" t="s">
        <v>76</v>
      </c>
      <c r="B224" s="3">
        <f aca="true" t="shared" si="126" ref="B224:N224">8+5+B210+B215</f>
        <v>15.607866717862219</v>
      </c>
      <c r="C224" s="3">
        <f t="shared" si="126"/>
        <v>15.631109350233643</v>
      </c>
      <c r="D224" s="3">
        <f t="shared" si="126"/>
        <v>15.623002072408225</v>
      </c>
      <c r="E224" s="3">
        <f t="shared" si="126"/>
        <v>15.578219590583915</v>
      </c>
      <c r="F224" s="3">
        <f t="shared" si="126"/>
        <v>15.509199647316162</v>
      </c>
      <c r="G224" s="26">
        <f t="shared" si="126"/>
        <v>15.480868054880897</v>
      </c>
      <c r="H224" s="3">
        <f t="shared" si="126"/>
        <v>15.520734124447129</v>
      </c>
      <c r="I224" s="3">
        <f t="shared" si="126"/>
        <v>15.448365992630128</v>
      </c>
      <c r="J224" s="3">
        <f t="shared" si="126"/>
        <v>15.471761136000763</v>
      </c>
      <c r="K224" s="3">
        <f t="shared" si="126"/>
        <v>15.458754230037146</v>
      </c>
      <c r="L224" s="3">
        <f t="shared" si="126"/>
        <v>15.524034360523151</v>
      </c>
      <c r="M224" s="3">
        <f t="shared" si="126"/>
        <v>15.592541271560894</v>
      </c>
      <c r="N224" s="3">
        <f t="shared" si="126"/>
        <v>15.633774350237426</v>
      </c>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row>
    <row r="225" spans="1:44" s="3" customFormat="1" ht="12.75">
      <c r="A225" s="3" t="s">
        <v>77</v>
      </c>
      <c r="B225" s="3">
        <f aca="true" t="shared" si="127" ref="B225:N225">(B192+B199)*4+(B193+B198+B200)*3+(B201+B202+B203+B204+B207+B208+B212)*2+B209+B213+B214</f>
        <v>46</v>
      </c>
      <c r="C225" s="3">
        <f t="shared" si="127"/>
        <v>46</v>
      </c>
      <c r="D225" s="3">
        <f t="shared" si="127"/>
        <v>46</v>
      </c>
      <c r="E225" s="3">
        <f t="shared" si="127"/>
        <v>46</v>
      </c>
      <c r="F225" s="3">
        <f t="shared" si="127"/>
        <v>46</v>
      </c>
      <c r="G225" s="26">
        <f t="shared" si="127"/>
        <v>46.00000000000001</v>
      </c>
      <c r="H225" s="3">
        <f t="shared" si="127"/>
        <v>45.999999999999986</v>
      </c>
      <c r="I225" s="3">
        <f t="shared" si="127"/>
        <v>46</v>
      </c>
      <c r="J225" s="3">
        <f t="shared" si="127"/>
        <v>45.999999999999986</v>
      </c>
      <c r="K225" s="3">
        <f t="shared" si="127"/>
        <v>45.99999999999999</v>
      </c>
      <c r="L225" s="3">
        <f t="shared" si="127"/>
        <v>46</v>
      </c>
      <c r="M225" s="3">
        <f t="shared" si="127"/>
        <v>46</v>
      </c>
      <c r="N225" s="3">
        <f t="shared" si="127"/>
        <v>45.99999999999999</v>
      </c>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row>
    <row r="226" spans="1:44" s="3" customFormat="1" ht="12.75">
      <c r="A226" s="3" t="s">
        <v>90</v>
      </c>
      <c r="B226" s="3">
        <f aca="true" t="shared" si="128" ref="B226:N226">16/B224</f>
        <v>1.0251240793649916</v>
      </c>
      <c r="C226" s="3">
        <f t="shared" si="128"/>
        <v>1.0235997741107763</v>
      </c>
      <c r="D226" s="3">
        <f t="shared" si="128"/>
        <v>1.0241309529272604</v>
      </c>
      <c r="E226" s="3">
        <f t="shared" si="128"/>
        <v>1.0270750073179753</v>
      </c>
      <c r="F226" s="3">
        <f t="shared" si="128"/>
        <v>1.03164575631527</v>
      </c>
      <c r="G226" s="26">
        <f t="shared" si="128"/>
        <v>1.033533774932952</v>
      </c>
      <c r="H226" s="3">
        <f t="shared" si="128"/>
        <v>1.0308790725818804</v>
      </c>
      <c r="I226" s="3">
        <f t="shared" si="128"/>
        <v>1.0357082430357383</v>
      </c>
      <c r="J226" s="3">
        <f t="shared" si="128"/>
        <v>1.0341421289635926</v>
      </c>
      <c r="K226" s="3">
        <f t="shared" si="128"/>
        <v>1.0350122501405181</v>
      </c>
      <c r="L226" s="3">
        <f t="shared" si="128"/>
        <v>1.0306599192209471</v>
      </c>
      <c r="M226" s="3">
        <f t="shared" si="128"/>
        <v>1.026131643414808</v>
      </c>
      <c r="N226" s="3">
        <f t="shared" si="128"/>
        <v>1.0234252869178078</v>
      </c>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row>
    <row r="227" spans="1:44" s="3" customFormat="1" ht="12.75">
      <c r="A227" s="3" t="s">
        <v>2</v>
      </c>
      <c r="B227" s="3">
        <f aca="true" t="shared" si="129" ref="B227:N227">8/B192</f>
        <v>1.1539633522618624</v>
      </c>
      <c r="C227" s="3">
        <f t="shared" si="129"/>
        <v>1.1571159927465386</v>
      </c>
      <c r="D227" s="3">
        <f t="shared" si="129"/>
        <v>1.1514494575523406</v>
      </c>
      <c r="E227" s="3">
        <f t="shared" si="129"/>
        <v>1.144708123921659</v>
      </c>
      <c r="F227" s="3">
        <f t="shared" si="129"/>
        <v>1.1363917769922824</v>
      </c>
      <c r="G227" s="26">
        <f t="shared" si="129"/>
        <v>1.1033980185744914</v>
      </c>
      <c r="H227" s="3">
        <f t="shared" si="129"/>
        <v>1.1211767610422887</v>
      </c>
      <c r="I227" s="3">
        <f t="shared" si="129"/>
        <v>1.104790027543053</v>
      </c>
      <c r="J227" s="3">
        <f t="shared" si="129"/>
        <v>1.1136996991938568</v>
      </c>
      <c r="K227" s="3">
        <f t="shared" si="129"/>
        <v>1.1083751478159078</v>
      </c>
      <c r="L227" s="3">
        <f t="shared" si="129"/>
        <v>1.1209070511691885</v>
      </c>
      <c r="M227" s="3">
        <f t="shared" si="129"/>
        <v>1.1348912186931914</v>
      </c>
      <c r="N227" s="3">
        <f t="shared" si="129"/>
        <v>1.1582138281782335</v>
      </c>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row>
    <row r="228" spans="1:44" s="3" customFormat="1" ht="12.75">
      <c r="A228" s="3" t="s">
        <v>3</v>
      </c>
      <c r="B228" s="3">
        <f aca="true" t="shared" si="130" ref="B228:N228">15/(B224-(B209+B213+B214))</f>
        <v>0.997170367273654</v>
      </c>
      <c r="C228" s="3">
        <f t="shared" si="130"/>
        <v>0.9985349469096906</v>
      </c>
      <c r="D228" s="3">
        <f t="shared" si="130"/>
        <v>0.9986900610306458</v>
      </c>
      <c r="E228" s="3">
        <f t="shared" si="130"/>
        <v>1.0000506803698859</v>
      </c>
      <c r="F228" s="3">
        <f t="shared" si="130"/>
        <v>0.9986007066592294</v>
      </c>
      <c r="G228" s="26">
        <f t="shared" si="130"/>
        <v>0.9991486102030387</v>
      </c>
      <c r="H228" s="3">
        <f t="shared" si="130"/>
        <v>0.996161572492919</v>
      </c>
      <c r="I228" s="3">
        <f t="shared" si="130"/>
        <v>0.9985916658186381</v>
      </c>
      <c r="J228" s="3">
        <f t="shared" si="130"/>
        <v>1.0008365024612926</v>
      </c>
      <c r="K228" s="3">
        <f t="shared" si="130"/>
        <v>0.9967425337825526</v>
      </c>
      <c r="L228" s="3">
        <f t="shared" si="130"/>
        <v>0.996172687575701</v>
      </c>
      <c r="M228" s="3">
        <f t="shared" si="130"/>
        <v>0.9951033312312547</v>
      </c>
      <c r="N228" s="3">
        <f t="shared" si="130"/>
        <v>0.9980923315573966</v>
      </c>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row>
    <row r="229" spans="1:44" s="3" customFormat="1" ht="12.75">
      <c r="A229" s="3" t="s">
        <v>4</v>
      </c>
      <c r="B229" s="3">
        <f aca="true" t="shared" si="131" ref="B229:N229">2/(B208+B212)</f>
        <v>1.0783494630705353</v>
      </c>
      <c r="C229" s="3">
        <f t="shared" si="131"/>
        <v>1.0966516362023198</v>
      </c>
      <c r="D229" s="3">
        <f t="shared" si="131"/>
        <v>1.0843449735558655</v>
      </c>
      <c r="E229" s="3">
        <f t="shared" si="131"/>
        <v>1.0874626870292348</v>
      </c>
      <c r="F229" s="3">
        <f t="shared" si="131"/>
        <v>1.1101088181190295</v>
      </c>
      <c r="G229" s="26">
        <f t="shared" si="131"/>
        <v>1.0815183392984158</v>
      </c>
      <c r="H229" s="3">
        <f t="shared" si="131"/>
        <v>1.0916752171860775</v>
      </c>
      <c r="I229" s="3">
        <f t="shared" si="131"/>
        <v>1.132445543687488</v>
      </c>
      <c r="J229" s="3">
        <f t="shared" si="131"/>
        <v>1.1206800287540675</v>
      </c>
      <c r="K229" s="3">
        <f t="shared" si="131"/>
        <v>1.0841751049429527</v>
      </c>
      <c r="L229" s="3">
        <f t="shared" si="131"/>
        <v>1.0643968989470582</v>
      </c>
      <c r="M229" s="3">
        <f t="shared" si="131"/>
        <v>1.064334955708349</v>
      </c>
      <c r="N229" s="3">
        <f t="shared" si="131"/>
        <v>1.0684117975724872</v>
      </c>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row>
    <row r="230" spans="1:44" s="3" customFormat="1" ht="12.75">
      <c r="A230" s="3" t="s">
        <v>5</v>
      </c>
      <c r="B230" s="3">
        <f>1</f>
        <v>1</v>
      </c>
      <c r="C230" s="3">
        <f>1</f>
        <v>1</v>
      </c>
      <c r="D230" s="3">
        <f>1</f>
        <v>1</v>
      </c>
      <c r="E230" s="3">
        <f>1</f>
        <v>1</v>
      </c>
      <c r="F230" s="3">
        <f>1</f>
        <v>1</v>
      </c>
      <c r="G230" s="26">
        <f>1</f>
        <v>1</v>
      </c>
      <c r="H230" s="3">
        <f>1</f>
        <v>1</v>
      </c>
      <c r="I230" s="3">
        <f>1</f>
        <v>1</v>
      </c>
      <c r="J230" s="3">
        <f>1</f>
        <v>1</v>
      </c>
      <c r="K230" s="3">
        <f>1</f>
        <v>1</v>
      </c>
      <c r="L230" s="3">
        <f>1</f>
        <v>1</v>
      </c>
      <c r="M230" s="3">
        <f>1</f>
        <v>1</v>
      </c>
      <c r="N230" s="3">
        <f>1</f>
        <v>1</v>
      </c>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row>
    <row r="231" spans="1:44" s="3" customFormat="1" ht="12.75">
      <c r="A231" s="3" t="s">
        <v>6</v>
      </c>
      <c r="B231" s="3">
        <f aca="true" t="shared" si="132" ref="B231:N231">8/(B192+B195)</f>
        <v>0.9838099100994672</v>
      </c>
      <c r="C231" s="3">
        <f t="shared" si="132"/>
        <v>0.9833049217680011</v>
      </c>
      <c r="D231" s="3">
        <f t="shared" si="132"/>
        <v>0.9853251974221932</v>
      </c>
      <c r="E231" s="3">
        <f t="shared" si="132"/>
        <v>0.9823540817610162</v>
      </c>
      <c r="F231" s="3">
        <f t="shared" si="132"/>
        <v>0.9818713451633846</v>
      </c>
      <c r="G231" s="26">
        <f t="shared" si="132"/>
        <v>0.9827946898125344</v>
      </c>
      <c r="H231" s="3">
        <f t="shared" si="132"/>
        <v>0.9822039087674721</v>
      </c>
      <c r="I231" s="3">
        <f t="shared" si="132"/>
        <v>0.9810183832151947</v>
      </c>
      <c r="J231" s="3">
        <f t="shared" si="132"/>
        <v>0.978034915053587</v>
      </c>
      <c r="K231" s="3">
        <f t="shared" si="132"/>
        <v>0.9821470861741907</v>
      </c>
      <c r="L231" s="3">
        <f t="shared" si="132"/>
        <v>0.9856413865934341</v>
      </c>
      <c r="M231" s="3">
        <f t="shared" si="132"/>
        <v>0.9856725021672832</v>
      </c>
      <c r="N231" s="3">
        <f t="shared" si="132"/>
        <v>0.9821936885703365</v>
      </c>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row>
    <row r="232" spans="1:44" s="3" customFormat="1" ht="12.75">
      <c r="A232" s="3" t="s">
        <v>7</v>
      </c>
      <c r="B232" s="3">
        <f aca="true" t="shared" si="133" ref="B232:N232">15/(B224-B214)</f>
        <v>0.9717300744533204</v>
      </c>
      <c r="C232" s="3">
        <f t="shared" si="133"/>
        <v>0.9707430459896389</v>
      </c>
      <c r="D232" s="3">
        <f t="shared" si="133"/>
        <v>0.9713141841959092</v>
      </c>
      <c r="E232" s="3">
        <f t="shared" si="133"/>
        <v>0.9732951869397727</v>
      </c>
      <c r="F232" s="3">
        <f t="shared" si="133"/>
        <v>0.9755337169463341</v>
      </c>
      <c r="G232" s="26">
        <f t="shared" si="133"/>
        <v>0.9759739026855772</v>
      </c>
      <c r="H232" s="3">
        <f t="shared" si="133"/>
        <v>0.9733713185313985</v>
      </c>
      <c r="I232" s="3">
        <f t="shared" si="133"/>
        <v>0.977714964598627</v>
      </c>
      <c r="J232" s="3">
        <f t="shared" si="133"/>
        <v>0.9770348678322499</v>
      </c>
      <c r="K232" s="3">
        <f t="shared" si="133"/>
        <v>0.9766423041297696</v>
      </c>
      <c r="L232" s="3">
        <f t="shared" si="133"/>
        <v>0.9741928064986284</v>
      </c>
      <c r="M232" s="3">
        <f t="shared" si="133"/>
        <v>0.9701663045903757</v>
      </c>
      <c r="N232" s="3">
        <f t="shared" si="133"/>
        <v>0.9699369328224287</v>
      </c>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row>
    <row r="233" spans="1:44" s="3" customFormat="1" ht="12.75">
      <c r="A233" s="3" t="s">
        <v>8</v>
      </c>
      <c r="B233" s="3">
        <f aca="true" t="shared" si="134" ref="B233:N233">12.9/(B224-(B204+B208+B209+B212+B213+B214))</f>
        <v>0.9781709689606132</v>
      </c>
      <c r="C233" s="3">
        <f t="shared" si="134"/>
        <v>0.9774004677921442</v>
      </c>
      <c r="D233" s="3">
        <f t="shared" si="134"/>
        <v>0.9791090476663679</v>
      </c>
      <c r="E233" s="3">
        <f t="shared" si="134"/>
        <v>0.9802359902686223</v>
      </c>
      <c r="F233" s="3">
        <f t="shared" si="134"/>
        <v>0.9758390104835303</v>
      </c>
      <c r="G233" s="26">
        <f t="shared" si="134"/>
        <v>0.9799803175058651</v>
      </c>
      <c r="H233" s="3">
        <f t="shared" si="134"/>
        <v>0.9753699026664084</v>
      </c>
      <c r="I233" s="3">
        <f t="shared" si="134"/>
        <v>0.9732128468839454</v>
      </c>
      <c r="J233" s="3">
        <f t="shared" si="134"/>
        <v>0.9770630853419593</v>
      </c>
      <c r="K233" s="3">
        <f t="shared" si="134"/>
        <v>0.9769543868212676</v>
      </c>
      <c r="L233" s="3">
        <f t="shared" si="134"/>
        <v>0.9788572954409074</v>
      </c>
      <c r="M233" s="3">
        <f t="shared" si="134"/>
        <v>0.9776649952197204</v>
      </c>
      <c r="N233" s="3">
        <f t="shared" si="134"/>
        <v>0.9804866197011127</v>
      </c>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row>
    <row r="234" spans="1:44" s="3" customFormat="1" ht="12.75">
      <c r="A234" s="3" t="s">
        <v>9</v>
      </c>
      <c r="B234" s="3">
        <f aca="true" t="shared" si="135" ref="B234:N234">36/(46+B195+B192+B199)</f>
        <v>0.6632974145587981</v>
      </c>
      <c r="C234" s="3">
        <f t="shared" si="135"/>
        <v>0.663172911239891</v>
      </c>
      <c r="D234" s="3">
        <f t="shared" si="135"/>
        <v>0.6634189535031055</v>
      </c>
      <c r="E234" s="3">
        <f t="shared" si="135"/>
        <v>0.6631204298648413</v>
      </c>
      <c r="F234" s="3">
        <f t="shared" si="135"/>
        <v>0.6631198177979973</v>
      </c>
      <c r="G234" s="26">
        <f t="shared" si="135"/>
        <v>0.6642307105244173</v>
      </c>
      <c r="H234" s="3">
        <f t="shared" si="135"/>
        <v>0.6640164069750674</v>
      </c>
      <c r="I234" s="3">
        <f t="shared" si="135"/>
        <v>0.6639366860047423</v>
      </c>
      <c r="J234" s="3">
        <f t="shared" si="135"/>
        <v>0.6633671640251977</v>
      </c>
      <c r="K234" s="3">
        <f t="shared" si="135"/>
        <v>0.6640849089507916</v>
      </c>
      <c r="L234" s="3">
        <f t="shared" si="135"/>
        <v>0.6642201187601801</v>
      </c>
      <c r="M234" s="3">
        <f t="shared" si="135"/>
        <v>0.6642017427764453</v>
      </c>
      <c r="N234" s="3">
        <f t="shared" si="135"/>
        <v>0.663133628901224</v>
      </c>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row>
    <row r="235" spans="1:44" s="3" customFormat="1" ht="12.75">
      <c r="A235" s="3" t="s">
        <v>10</v>
      </c>
      <c r="B235" s="3">
        <f aca="true" t="shared" si="136" ref="B235:N235">1-((B200+B203)/46)</f>
        <v>0.9655005607963005</v>
      </c>
      <c r="C235" s="3">
        <f t="shared" si="136"/>
        <v>0.965108357721496</v>
      </c>
      <c r="D235" s="3">
        <f t="shared" si="136"/>
        <v>0.9647911596354833</v>
      </c>
      <c r="E235" s="3">
        <f t="shared" si="136"/>
        <v>0.9649836661497245</v>
      </c>
      <c r="F235" s="3">
        <f t="shared" si="136"/>
        <v>0.9651563816778332</v>
      </c>
      <c r="G235" s="26">
        <f t="shared" si="136"/>
        <v>0.9666782443115822</v>
      </c>
      <c r="H235" s="3">
        <f t="shared" si="136"/>
        <v>0.9667570725625909</v>
      </c>
      <c r="I235" s="3">
        <f t="shared" si="136"/>
        <v>0.9684796424331252</v>
      </c>
      <c r="J235" s="3">
        <f t="shared" si="136"/>
        <v>0.9666177242554626</v>
      </c>
      <c r="K235" s="3">
        <f t="shared" si="136"/>
        <v>0.9681927608917084</v>
      </c>
      <c r="L235" s="3">
        <f t="shared" si="136"/>
        <v>0.9653112809030895</v>
      </c>
      <c r="M235" s="3">
        <f t="shared" si="136"/>
        <v>0.9653535282749528</v>
      </c>
      <c r="N235" s="3">
        <f t="shared" si="136"/>
        <v>0.9639447204239892</v>
      </c>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row>
    <row r="236" spans="1:44" s="3" customFormat="1" ht="12.75">
      <c r="A236" s="3" t="s">
        <v>11</v>
      </c>
      <c r="B236" s="3">
        <f aca="true" t="shared" si="137" ref="B236:N236">MIN(B226:B230)</f>
        <v>0.997170367273654</v>
      </c>
      <c r="C236" s="3">
        <f t="shared" si="137"/>
        <v>0.9985349469096906</v>
      </c>
      <c r="D236" s="3">
        <f t="shared" si="137"/>
        <v>0.9986900610306458</v>
      </c>
      <c r="E236" s="3">
        <f t="shared" si="137"/>
        <v>1</v>
      </c>
      <c r="F236" s="3">
        <f t="shared" si="137"/>
        <v>0.9986007066592294</v>
      </c>
      <c r="G236" s="26">
        <f t="shared" si="137"/>
        <v>0.9991486102030387</v>
      </c>
      <c r="H236" s="3">
        <f t="shared" si="137"/>
        <v>0.996161572492919</v>
      </c>
      <c r="I236" s="3">
        <f t="shared" si="137"/>
        <v>0.9985916658186381</v>
      </c>
      <c r="J236" s="3">
        <f t="shared" si="137"/>
        <v>1</v>
      </c>
      <c r="K236" s="3">
        <f t="shared" si="137"/>
        <v>0.9967425337825526</v>
      </c>
      <c r="L236" s="3">
        <f t="shared" si="137"/>
        <v>0.996172687575701</v>
      </c>
      <c r="M236" s="3">
        <f t="shared" si="137"/>
        <v>0.9951033312312547</v>
      </c>
      <c r="N236" s="3">
        <f t="shared" si="137"/>
        <v>0.9980923315573966</v>
      </c>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row>
    <row r="237" spans="1:44" s="3" customFormat="1" ht="12.75">
      <c r="A237" s="3" t="s">
        <v>12</v>
      </c>
      <c r="B237" s="3">
        <f aca="true" t="shared" si="138" ref="B237:N237">MAX(B231:B235)</f>
        <v>0.9838099100994672</v>
      </c>
      <c r="C237" s="3">
        <f t="shared" si="138"/>
        <v>0.9833049217680011</v>
      </c>
      <c r="D237" s="3">
        <f t="shared" si="138"/>
        <v>0.9853251974221932</v>
      </c>
      <c r="E237" s="3">
        <f t="shared" si="138"/>
        <v>0.9823540817610162</v>
      </c>
      <c r="F237" s="3">
        <f t="shared" si="138"/>
        <v>0.9818713451633846</v>
      </c>
      <c r="G237" s="26">
        <f t="shared" si="138"/>
        <v>0.9827946898125344</v>
      </c>
      <c r="H237" s="3">
        <f t="shared" si="138"/>
        <v>0.9822039087674721</v>
      </c>
      <c r="I237" s="3">
        <f t="shared" si="138"/>
        <v>0.9810183832151947</v>
      </c>
      <c r="J237" s="3">
        <f t="shared" si="138"/>
        <v>0.978034915053587</v>
      </c>
      <c r="K237" s="3">
        <f t="shared" si="138"/>
        <v>0.9821470861741907</v>
      </c>
      <c r="L237" s="3">
        <f t="shared" si="138"/>
        <v>0.9856413865934341</v>
      </c>
      <c r="M237" s="3">
        <f t="shared" si="138"/>
        <v>0.9856725021672832</v>
      </c>
      <c r="N237" s="3">
        <f t="shared" si="138"/>
        <v>0.9821936885703365</v>
      </c>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row>
    <row r="238" spans="1:44" s="3" customFormat="1" ht="12.75">
      <c r="A238" s="3" t="s">
        <v>13</v>
      </c>
      <c r="B238" s="3">
        <f aca="true" t="shared" si="139" ref="B238:N238">AVERAGE(B236:B237)</f>
        <v>0.9904901386865606</v>
      </c>
      <c r="C238" s="3">
        <f t="shared" si="139"/>
        <v>0.9909199343388458</v>
      </c>
      <c r="D238" s="3">
        <f t="shared" si="139"/>
        <v>0.9920076292264195</v>
      </c>
      <c r="E238" s="3">
        <f t="shared" si="139"/>
        <v>0.9911770408805081</v>
      </c>
      <c r="F238" s="3">
        <f t="shared" si="139"/>
        <v>0.990236025911307</v>
      </c>
      <c r="G238" s="26">
        <f t="shared" si="139"/>
        <v>0.9909716500077865</v>
      </c>
      <c r="H238" s="3">
        <f t="shared" si="139"/>
        <v>0.9891827406301956</v>
      </c>
      <c r="I238" s="3">
        <f t="shared" si="139"/>
        <v>0.9898050245169164</v>
      </c>
      <c r="J238" s="3">
        <f t="shared" si="139"/>
        <v>0.9890174575267935</v>
      </c>
      <c r="K238" s="3">
        <f t="shared" si="139"/>
        <v>0.9894448099783717</v>
      </c>
      <c r="L238" s="3">
        <f t="shared" si="139"/>
        <v>0.9909070370845676</v>
      </c>
      <c r="M238" s="3">
        <f t="shared" si="139"/>
        <v>0.990387916699269</v>
      </c>
      <c r="N238" s="3">
        <f t="shared" si="139"/>
        <v>0.9901430100638666</v>
      </c>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row>
  </sheetData>
  <sheetProtection/>
  <printOptions/>
  <pageMargins left="0.75" right="0.75" top="1" bottom="0.5" header="0.5" footer="0.5"/>
  <pageSetup fitToHeight="1" fitToWidth="1" orientation="portrait" paperSize="9"/>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johnyu</dc:creator>
  <cp:keywords/>
  <dc:description/>
  <cp:lastModifiedBy>Lawford Anderson</cp:lastModifiedBy>
  <dcterms:created xsi:type="dcterms:W3CDTF">2008-08-14T14:17:35Z</dcterms:created>
  <dcterms:modified xsi:type="dcterms:W3CDTF">2008-10-15T04:38:43Z</dcterms:modified>
  <cp:category/>
  <cp:version/>
  <cp:contentType/>
  <cp:contentStatus/>
</cp:coreProperties>
</file>