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AM-22-67832/"/>
    </mc:Choice>
  </mc:AlternateContent>
  <xr:revisionPtr revIDLastSave="0" documentId="13_ncr:1_{291AA25F-C49A-B54B-8A1E-EBA9C048EC07}" xr6:coauthVersionLast="47" xr6:coauthVersionMax="47" xr10:uidLastSave="{00000000-0000-0000-0000-000000000000}"/>
  <bookViews>
    <workbookView xWindow="0" yWindow="500" windowWidth="34760" windowHeight="21400" xr2:uid="{00000000-000D-0000-FFFF-FFFF00000000}"/>
  </bookViews>
  <sheets>
    <sheet name="300" sheetId="1" r:id="rId1"/>
    <sheet name="400" sheetId="2" r:id="rId2"/>
    <sheet name="Additiona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10" i="2" l="1"/>
  <c r="AB10" i="2"/>
  <c r="AC10" i="2"/>
  <c r="AD10" i="2"/>
  <c r="AE10" i="2"/>
  <c r="AF10" i="2"/>
  <c r="AG10" i="2"/>
  <c r="AH10" i="2"/>
  <c r="AI10" i="2"/>
  <c r="AJ10" i="2"/>
  <c r="AK10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B9" i="2"/>
  <c r="AC9" i="2"/>
  <c r="AD9" i="2"/>
  <c r="AE9" i="2"/>
  <c r="AF9" i="2"/>
  <c r="AG9" i="2"/>
  <c r="AH9" i="2"/>
  <c r="AI9" i="2"/>
  <c r="AJ9" i="2"/>
  <c r="AK9" i="2"/>
  <c r="AL9" i="2"/>
  <c r="AA18" i="2"/>
  <c r="AB18" i="2"/>
  <c r="AC18" i="2"/>
  <c r="AD18" i="2"/>
  <c r="AE18" i="2"/>
  <c r="AF18" i="2"/>
  <c r="AG18" i="2"/>
  <c r="AH18" i="2"/>
  <c r="AI18" i="2"/>
  <c r="AJ18" i="2"/>
  <c r="AK18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B17" i="2"/>
  <c r="AC17" i="2"/>
  <c r="AD17" i="2"/>
  <c r="AE17" i="2"/>
  <c r="AF17" i="2"/>
  <c r="AG17" i="2"/>
  <c r="AH17" i="2"/>
  <c r="AI17" i="2"/>
  <c r="AJ17" i="2"/>
  <c r="AK17" i="2"/>
  <c r="AL17" i="2"/>
  <c r="AA26" i="2"/>
  <c r="AB26" i="2"/>
  <c r="AC26" i="2"/>
  <c r="AD26" i="2"/>
  <c r="AE26" i="2"/>
  <c r="AF26" i="2"/>
  <c r="AG26" i="2"/>
  <c r="AH26" i="2"/>
  <c r="AI26" i="2"/>
  <c r="AJ26" i="2"/>
  <c r="AK26" i="2"/>
  <c r="AA27" i="2"/>
  <c r="AB27" i="2"/>
  <c r="AC27" i="2"/>
  <c r="AD27" i="2"/>
  <c r="AE27" i="2"/>
  <c r="AF27" i="2"/>
  <c r="AG27" i="2"/>
  <c r="AH27" i="2"/>
  <c r="AI27" i="2"/>
  <c r="AJ27" i="2"/>
  <c r="AK27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B25" i="2"/>
  <c r="AC25" i="2"/>
  <c r="AD25" i="2"/>
  <c r="AE25" i="2"/>
  <c r="AF25" i="2"/>
  <c r="AG25" i="2"/>
  <c r="AH25" i="2"/>
  <c r="AI25" i="2"/>
  <c r="AJ25" i="2"/>
  <c r="AK25" i="2"/>
  <c r="AL25" i="2"/>
  <c r="AL42" i="2"/>
  <c r="AK42" i="2"/>
  <c r="AJ42" i="2"/>
  <c r="AI42" i="2"/>
  <c r="AH42" i="2"/>
  <c r="AG42" i="2"/>
  <c r="AF42" i="2"/>
  <c r="AE42" i="2"/>
  <c r="AD42" i="2"/>
  <c r="AC42" i="2"/>
  <c r="AB42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AA34" i="2"/>
  <c r="AB34" i="2"/>
  <c r="AC34" i="2"/>
  <c r="AD34" i="2"/>
  <c r="AE34" i="2"/>
  <c r="AF34" i="2"/>
  <c r="AG34" i="2"/>
  <c r="AH34" i="2"/>
  <c r="AI34" i="2"/>
  <c r="AJ34" i="2"/>
  <c r="AK34" i="2"/>
  <c r="AA35" i="2"/>
  <c r="AB35" i="2"/>
  <c r="AC35" i="2"/>
  <c r="AD35" i="2"/>
  <c r="AE35" i="2"/>
  <c r="AF35" i="2"/>
  <c r="AG35" i="2"/>
  <c r="AH35" i="2"/>
  <c r="AI35" i="2"/>
  <c r="AJ35" i="2"/>
  <c r="AK35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B33" i="2"/>
  <c r="AC33" i="2"/>
  <c r="AD33" i="2"/>
  <c r="AE33" i="2"/>
  <c r="AF33" i="2"/>
  <c r="AG33" i="2"/>
  <c r="AH33" i="2"/>
  <c r="AI33" i="2"/>
  <c r="AJ33" i="2"/>
  <c r="AK33" i="2"/>
  <c r="AL33" i="2"/>
  <c r="AA33" i="2"/>
  <c r="AA25" i="2"/>
  <c r="AA17" i="2"/>
  <c r="AA9" i="2"/>
  <c r="AA10" i="1"/>
  <c r="AB10" i="1"/>
  <c r="AC10" i="1"/>
  <c r="AD10" i="1"/>
  <c r="AE10" i="1"/>
  <c r="AF10" i="1"/>
  <c r="AG10" i="1"/>
  <c r="AH10" i="1"/>
  <c r="AI10" i="1"/>
  <c r="AJ10" i="1"/>
  <c r="AK10" i="1"/>
  <c r="AA11" i="1"/>
  <c r="AB11" i="1"/>
  <c r="AC11" i="1"/>
  <c r="AD11" i="1"/>
  <c r="AE11" i="1"/>
  <c r="AF11" i="1"/>
  <c r="AG11" i="1"/>
  <c r="AH11" i="1"/>
  <c r="AI11" i="1"/>
  <c r="AJ11" i="1"/>
  <c r="AK11" i="1"/>
  <c r="AA12" i="1"/>
  <c r="AB12" i="1"/>
  <c r="AC12" i="1"/>
  <c r="AD12" i="1"/>
  <c r="AE12" i="1"/>
  <c r="AF12" i="1"/>
  <c r="AG12" i="1"/>
  <c r="AH12" i="1"/>
  <c r="AI12" i="1"/>
  <c r="AJ12" i="1"/>
  <c r="AK12" i="1"/>
  <c r="AL17" i="1"/>
  <c r="AL19" i="1"/>
  <c r="AL24" i="1"/>
  <c r="AA25" i="1"/>
  <c r="AB25" i="1"/>
  <c r="AC25" i="1"/>
  <c r="AD25" i="1"/>
  <c r="AE25" i="1"/>
  <c r="AF25" i="1"/>
  <c r="AG25" i="1"/>
  <c r="AH25" i="1"/>
  <c r="AI25" i="1"/>
  <c r="AJ25" i="1"/>
  <c r="AK25" i="1"/>
  <c r="AL26" i="1"/>
  <c r="AL31" i="1"/>
  <c r="AA33" i="1"/>
  <c r="AB33" i="1"/>
  <c r="AC33" i="1"/>
  <c r="AD33" i="1"/>
  <c r="AE33" i="1"/>
  <c r="AF33" i="1"/>
  <c r="AG33" i="1"/>
  <c r="AH33" i="1"/>
  <c r="AI33" i="1"/>
  <c r="AJ33" i="1"/>
  <c r="AK33" i="1"/>
  <c r="AL39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L43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B9" i="1"/>
  <c r="AC9" i="1"/>
  <c r="AD9" i="1"/>
  <c r="AE9" i="1"/>
  <c r="AF9" i="1"/>
  <c r="AG9" i="1"/>
  <c r="AH9" i="1"/>
  <c r="AI9" i="1"/>
  <c r="AJ9" i="1"/>
  <c r="AK9" i="1"/>
  <c r="AA9" i="1"/>
  <c r="I67" i="3"/>
  <c r="I69" i="3" s="1"/>
  <c r="T78" i="3"/>
  <c r="U78" i="3"/>
  <c r="T79" i="3"/>
  <c r="U79" i="3"/>
  <c r="T80" i="3"/>
  <c r="U80" i="3"/>
  <c r="T84" i="3"/>
  <c r="U84" i="3"/>
  <c r="T85" i="3"/>
  <c r="U85" i="3"/>
  <c r="T86" i="3"/>
  <c r="U86" i="3"/>
  <c r="T87" i="3"/>
  <c r="U87" i="3"/>
  <c r="T88" i="3"/>
  <c r="U88" i="3"/>
  <c r="T76" i="3"/>
  <c r="U76" i="3"/>
  <c r="T77" i="3"/>
  <c r="U77" i="3"/>
  <c r="H68" i="3"/>
  <c r="H67" i="3"/>
  <c r="A43" i="2"/>
  <c r="D42" i="2" s="1"/>
  <c r="A49" i="1"/>
  <c r="D48" i="1" s="1"/>
  <c r="D34" i="2"/>
  <c r="D35" i="2"/>
  <c r="D26" i="2"/>
  <c r="D27" i="2"/>
  <c r="D21" i="2"/>
  <c r="E16" i="2" s="1"/>
  <c r="E15" i="2" s="1"/>
  <c r="D13" i="2"/>
  <c r="E8" i="2" s="1"/>
  <c r="E7" i="2" s="1"/>
  <c r="E19" i="2"/>
  <c r="M62" i="2" s="1"/>
  <c r="D44" i="1"/>
  <c r="E39" i="1" s="1"/>
  <c r="K73" i="1" s="1"/>
  <c r="E38" i="1"/>
  <c r="R73" i="1" s="1"/>
  <c r="D35" i="1"/>
  <c r="E30" i="1" s="1"/>
  <c r="D27" i="1"/>
  <c r="E26" i="1" s="1"/>
  <c r="N71" i="1" s="1"/>
  <c r="D20" i="1"/>
  <c r="D13" i="1"/>
  <c r="E10" i="1" s="1"/>
  <c r="L69" i="1" s="1"/>
  <c r="P69" i="1"/>
  <c r="O69" i="1"/>
  <c r="E19" i="1"/>
  <c r="N70" i="1" s="1"/>
  <c r="M71" i="1"/>
  <c r="E18" i="1"/>
  <c r="M70" i="1" s="1"/>
  <c r="L70" i="1"/>
  <c r="D52" i="3"/>
  <c r="D53" i="3" s="1"/>
  <c r="B50" i="3"/>
  <c r="E35" i="3"/>
  <c r="E32" i="3" s="1"/>
  <c r="F35" i="3"/>
  <c r="B10" i="2" s="1"/>
  <c r="B26" i="2" s="1"/>
  <c r="B34" i="2" s="1"/>
  <c r="G35" i="3"/>
  <c r="B11" i="2" s="1"/>
  <c r="B19" i="2" s="1"/>
  <c r="H35" i="3"/>
  <c r="B27" i="2" s="1"/>
  <c r="B35" i="2" s="1"/>
  <c r="I35" i="3"/>
  <c r="B12" i="2" s="1"/>
  <c r="B20" i="2" s="1"/>
  <c r="J35" i="3"/>
  <c r="B28" i="2" s="1"/>
  <c r="B37" i="2" s="1"/>
  <c r="D35" i="3"/>
  <c r="D32" i="3" s="1"/>
  <c r="J58" i="3"/>
  <c r="J59" i="3" s="1"/>
  <c r="I58" i="3"/>
  <c r="I59" i="3"/>
  <c r="I60" i="3" s="1"/>
  <c r="E55" i="3"/>
  <c r="E56" i="3" s="1"/>
  <c r="H52" i="3"/>
  <c r="H53" i="3" s="1"/>
  <c r="H54" i="3" s="1"/>
  <c r="G52" i="3"/>
  <c r="G53" i="3"/>
  <c r="G54" i="3"/>
  <c r="F52" i="3"/>
  <c r="F53" i="3" s="1"/>
  <c r="I5" i="3"/>
  <c r="H34" i="3" s="1"/>
  <c r="F27" i="2" s="1"/>
  <c r="F35" i="2" s="1"/>
  <c r="B21" i="3"/>
  <c r="J6" i="3" s="1"/>
  <c r="B34" i="1" s="1"/>
  <c r="E6" i="3"/>
  <c r="B42" i="1" s="1"/>
  <c r="B48" i="1" s="1"/>
  <c r="F6" i="3"/>
  <c r="B18" i="1" s="1"/>
  <c r="G6" i="3"/>
  <c r="B40" i="1" s="1"/>
  <c r="H6" i="3"/>
  <c r="B10" i="1" s="1"/>
  <c r="I6" i="3"/>
  <c r="B33" i="1" s="1"/>
  <c r="E26" i="3"/>
  <c r="E27" i="3" s="1"/>
  <c r="H23" i="3"/>
  <c r="H24" i="3"/>
  <c r="H25" i="3"/>
  <c r="H5" i="3" s="1"/>
  <c r="F10" i="1" s="1"/>
  <c r="G10" i="1" s="1"/>
  <c r="G23" i="3"/>
  <c r="G24" i="3"/>
  <c r="G25" i="3"/>
  <c r="F23" i="3"/>
  <c r="F24" i="3"/>
  <c r="F25" i="3"/>
  <c r="D23" i="3"/>
  <c r="D24" i="3"/>
  <c r="D25" i="3"/>
  <c r="J5" i="3"/>
  <c r="F12" i="1" s="1"/>
  <c r="V4" i="2"/>
  <c r="L19" i="1"/>
  <c r="AB19" i="1" s="1"/>
  <c r="M19" i="1"/>
  <c r="AC19" i="1" s="1"/>
  <c r="M26" i="1"/>
  <c r="AC26" i="1" s="1"/>
  <c r="N19" i="1"/>
  <c r="AD19" i="1" s="1"/>
  <c r="O19" i="1"/>
  <c r="AE19" i="1" s="1"/>
  <c r="O26" i="1"/>
  <c r="O34" i="1" s="1"/>
  <c r="P19" i="1"/>
  <c r="AF19" i="1" s="1"/>
  <c r="Q19" i="1"/>
  <c r="AG19" i="1" s="1"/>
  <c r="R19" i="1"/>
  <c r="AH19" i="1" s="1"/>
  <c r="S19" i="1"/>
  <c r="AI19" i="1" s="1"/>
  <c r="T19" i="1"/>
  <c r="AJ19" i="1" s="1"/>
  <c r="U19" i="1"/>
  <c r="AK19" i="1" s="1"/>
  <c r="V34" i="1"/>
  <c r="AL34" i="1" s="1"/>
  <c r="L17" i="1"/>
  <c r="AB17" i="1" s="1"/>
  <c r="L24" i="1"/>
  <c r="AB24" i="1" s="1"/>
  <c r="M17" i="1"/>
  <c r="AC17" i="1" s="1"/>
  <c r="M24" i="1"/>
  <c r="AC24" i="1" s="1"/>
  <c r="N17" i="1"/>
  <c r="AD17" i="1" s="1"/>
  <c r="N24" i="1"/>
  <c r="AD24" i="1" s="1"/>
  <c r="O17" i="1"/>
  <c r="AE17" i="1" s="1"/>
  <c r="O24" i="1"/>
  <c r="AE24" i="1" s="1"/>
  <c r="P17" i="1"/>
  <c r="AF17" i="1" s="1"/>
  <c r="Q17" i="1"/>
  <c r="AG17" i="1" s="1"/>
  <c r="Q24" i="1"/>
  <c r="AG24" i="1" s="1"/>
  <c r="R17" i="1"/>
  <c r="AH17" i="1" s="1"/>
  <c r="S17" i="1"/>
  <c r="AI17" i="1" s="1"/>
  <c r="T17" i="1"/>
  <c r="AJ17" i="1" s="1"/>
  <c r="U17" i="1"/>
  <c r="AK17" i="1" s="1"/>
  <c r="U24" i="1"/>
  <c r="AK24" i="1" s="1"/>
  <c r="L40" i="1"/>
  <c r="AB40" i="1" s="1"/>
  <c r="M40" i="1"/>
  <c r="AC40" i="1" s="1"/>
  <c r="N40" i="1"/>
  <c r="AD40" i="1" s="1"/>
  <c r="O40" i="1"/>
  <c r="AE40" i="1" s="1"/>
  <c r="P40" i="1"/>
  <c r="AF40" i="1" s="1"/>
  <c r="Q40" i="1"/>
  <c r="AG40" i="1" s="1"/>
  <c r="R40" i="1"/>
  <c r="AH40" i="1" s="1"/>
  <c r="S40" i="1"/>
  <c r="AI40" i="1" s="1"/>
  <c r="T40" i="1"/>
  <c r="AJ40" i="1" s="1"/>
  <c r="U40" i="1"/>
  <c r="AK40" i="1" s="1"/>
  <c r="L41" i="1"/>
  <c r="AB41" i="1" s="1"/>
  <c r="M41" i="1"/>
  <c r="AC41" i="1" s="1"/>
  <c r="N41" i="1"/>
  <c r="AD41" i="1" s="1"/>
  <c r="O41" i="1"/>
  <c r="AE41" i="1" s="1"/>
  <c r="P41" i="1"/>
  <c r="AF41" i="1" s="1"/>
  <c r="Q41" i="1"/>
  <c r="AG41" i="1" s="1"/>
  <c r="R41" i="1"/>
  <c r="AH41" i="1" s="1"/>
  <c r="S41" i="1"/>
  <c r="AI41" i="1" s="1"/>
  <c r="T41" i="1"/>
  <c r="AJ41" i="1" s="1"/>
  <c r="U41" i="1"/>
  <c r="AK41" i="1" s="1"/>
  <c r="L32" i="1"/>
  <c r="AB32" i="1" s="1"/>
  <c r="M32" i="1"/>
  <c r="AC32" i="1" s="1"/>
  <c r="N32" i="1"/>
  <c r="AD32" i="1" s="1"/>
  <c r="O32" i="1"/>
  <c r="AE32" i="1" s="1"/>
  <c r="P32" i="1"/>
  <c r="AF32" i="1" s="1"/>
  <c r="Q32" i="1"/>
  <c r="AG32" i="1" s="1"/>
  <c r="R32" i="1"/>
  <c r="AH32" i="1" s="1"/>
  <c r="S32" i="1"/>
  <c r="AI32" i="1" s="1"/>
  <c r="T32" i="1"/>
  <c r="AJ32" i="1" s="1"/>
  <c r="U32" i="1"/>
  <c r="AK32" i="1" s="1"/>
  <c r="L18" i="1"/>
  <c r="AB18" i="1" s="1"/>
  <c r="M18" i="1"/>
  <c r="AC18" i="1" s="1"/>
  <c r="N18" i="1"/>
  <c r="AD18" i="1" s="1"/>
  <c r="O18" i="1"/>
  <c r="AE18" i="1" s="1"/>
  <c r="P18" i="1"/>
  <c r="AF18" i="1" s="1"/>
  <c r="Q18" i="1"/>
  <c r="AG18" i="1" s="1"/>
  <c r="R18" i="1"/>
  <c r="AH18" i="1" s="1"/>
  <c r="S18" i="1"/>
  <c r="AI18" i="1" s="1"/>
  <c r="T18" i="1"/>
  <c r="AJ18" i="1" s="1"/>
  <c r="U18" i="1"/>
  <c r="AK18" i="1" s="1"/>
  <c r="K40" i="1"/>
  <c r="AA40" i="1" s="1"/>
  <c r="K32" i="1"/>
  <c r="AA32" i="1" s="1"/>
  <c r="K19" i="1"/>
  <c r="AA19" i="1" s="1"/>
  <c r="K41" i="1"/>
  <c r="AA41" i="1" s="1"/>
  <c r="K17" i="1"/>
  <c r="AA17" i="1" s="1"/>
  <c r="K18" i="1"/>
  <c r="AA18" i="1" s="1"/>
  <c r="V4" i="1"/>
  <c r="P24" i="1" l="1"/>
  <c r="AF24" i="1" s="1"/>
  <c r="Q26" i="1"/>
  <c r="AG26" i="1" s="1"/>
  <c r="E23" i="1"/>
  <c r="R71" i="1" s="1"/>
  <c r="T24" i="1"/>
  <c r="AJ24" i="1" s="1"/>
  <c r="E40" i="1"/>
  <c r="O73" i="1" s="1"/>
  <c r="E34" i="1"/>
  <c r="N72" i="1" s="1"/>
  <c r="E43" i="1"/>
  <c r="N73" i="1" s="1"/>
  <c r="K26" i="1"/>
  <c r="K34" i="1" s="1"/>
  <c r="S24" i="1"/>
  <c r="AI24" i="1" s="1"/>
  <c r="E33" i="1"/>
  <c r="P72" i="1" s="1"/>
  <c r="E41" i="1"/>
  <c r="P73" i="1" s="1"/>
  <c r="D47" i="1"/>
  <c r="S26" i="1"/>
  <c r="AI26" i="1" s="1"/>
  <c r="E42" i="1"/>
  <c r="Q73" i="1" s="1"/>
  <c r="D29" i="2"/>
  <c r="E27" i="2" s="1"/>
  <c r="D54" i="3"/>
  <c r="D34" i="3" s="1"/>
  <c r="E57" i="3"/>
  <c r="E34" i="3" s="1"/>
  <c r="I34" i="3"/>
  <c r="F12" i="2" s="1"/>
  <c r="F20" i="2" s="1"/>
  <c r="D5" i="3"/>
  <c r="F9" i="1" s="1"/>
  <c r="F17" i="1" s="1"/>
  <c r="F24" i="1" s="1"/>
  <c r="F5" i="3"/>
  <c r="F11" i="1" s="1"/>
  <c r="G5" i="3"/>
  <c r="F25" i="1" s="1"/>
  <c r="F32" i="1" s="1"/>
  <c r="G34" i="3"/>
  <c r="F11" i="2" s="1"/>
  <c r="F19" i="2" s="1"/>
  <c r="G19" i="2" s="1"/>
  <c r="H19" i="2" s="1"/>
  <c r="F33" i="1"/>
  <c r="F41" i="1" s="1"/>
  <c r="G41" i="1" s="1"/>
  <c r="H41" i="1" s="1"/>
  <c r="D6" i="3"/>
  <c r="B24" i="1" s="1"/>
  <c r="H70" i="3"/>
  <c r="I70" i="3" s="1"/>
  <c r="F54" i="3"/>
  <c r="F34" i="3"/>
  <c r="F10" i="2" s="1"/>
  <c r="F40" i="1"/>
  <c r="G40" i="1" s="1"/>
  <c r="H40" i="1" s="1"/>
  <c r="F19" i="1"/>
  <c r="G19" i="1" s="1"/>
  <c r="J60" i="3"/>
  <c r="J34" i="3"/>
  <c r="F28" i="2" s="1"/>
  <c r="F37" i="2" s="1"/>
  <c r="F18" i="1"/>
  <c r="G18" i="1" s="1"/>
  <c r="H18" i="1" s="1"/>
  <c r="E28" i="3"/>
  <c r="E5" i="3"/>
  <c r="F42" i="1" s="1"/>
  <c r="H10" i="1"/>
  <c r="B17" i="1"/>
  <c r="R24" i="1"/>
  <c r="AH24" i="1" s="1"/>
  <c r="E11" i="1"/>
  <c r="M69" i="1" s="1"/>
  <c r="E12" i="2"/>
  <c r="N61" i="2" s="1"/>
  <c r="B36" i="2"/>
  <c r="B42" i="2" s="1"/>
  <c r="B68" i="3" s="1"/>
  <c r="J68" i="3" s="1"/>
  <c r="E20" i="2"/>
  <c r="N62" i="2" s="1"/>
  <c r="B9" i="2"/>
  <c r="E12" i="1"/>
  <c r="N69" i="1" s="1"/>
  <c r="E8" i="1"/>
  <c r="E7" i="1" s="1"/>
  <c r="E47" i="1"/>
  <c r="K74" i="1" s="1"/>
  <c r="B43" i="1"/>
  <c r="D38" i="2"/>
  <c r="B32" i="1"/>
  <c r="B12" i="1"/>
  <c r="B31" i="1"/>
  <c r="B11" i="1"/>
  <c r="B26" i="1"/>
  <c r="B25" i="1"/>
  <c r="E24" i="1"/>
  <c r="K71" i="1" s="1"/>
  <c r="B41" i="1"/>
  <c r="E3" i="3"/>
  <c r="B19" i="1"/>
  <c r="E10" i="2"/>
  <c r="L61" i="2" s="1"/>
  <c r="E32" i="1"/>
  <c r="O72" i="1" s="1"/>
  <c r="E18" i="2"/>
  <c r="L62" i="2" s="1"/>
  <c r="E17" i="2"/>
  <c r="E25" i="1"/>
  <c r="O71" i="1" s="1"/>
  <c r="E9" i="2"/>
  <c r="U26" i="1"/>
  <c r="AK26" i="1" s="1"/>
  <c r="E11" i="2"/>
  <c r="M61" i="2" s="1"/>
  <c r="AE34" i="1"/>
  <c r="O43" i="1"/>
  <c r="AE43" i="1" s="1"/>
  <c r="AA34" i="1"/>
  <c r="K43" i="1"/>
  <c r="AA43" i="1" s="1"/>
  <c r="E29" i="1"/>
  <c r="R72" i="1"/>
  <c r="E31" i="1"/>
  <c r="K72" i="1" s="1"/>
  <c r="E48" i="1"/>
  <c r="Q74" i="1" s="1"/>
  <c r="E49" i="1"/>
  <c r="R74" i="1" s="1"/>
  <c r="E37" i="1"/>
  <c r="AE26" i="1"/>
  <c r="U31" i="1"/>
  <c r="T31" i="1"/>
  <c r="Q31" i="1"/>
  <c r="P31" i="1"/>
  <c r="O31" i="1"/>
  <c r="N31" i="1"/>
  <c r="M31" i="1"/>
  <c r="L31" i="1"/>
  <c r="R26" i="1"/>
  <c r="N26" i="1"/>
  <c r="E16" i="1"/>
  <c r="AA26" i="1"/>
  <c r="E22" i="1"/>
  <c r="K24" i="1"/>
  <c r="U34" i="1"/>
  <c r="T26" i="1"/>
  <c r="Q34" i="1"/>
  <c r="P26" i="1"/>
  <c r="M34" i="1"/>
  <c r="L26" i="1"/>
  <c r="R62" i="2"/>
  <c r="K62" i="2"/>
  <c r="E36" i="2"/>
  <c r="E37" i="2"/>
  <c r="P64" i="2" s="1"/>
  <c r="E32" i="2"/>
  <c r="E24" i="2"/>
  <c r="E28" i="2"/>
  <c r="P63" i="2" s="1"/>
  <c r="R61" i="2"/>
  <c r="E35" i="2"/>
  <c r="O64" i="2" s="1"/>
  <c r="B18" i="2"/>
  <c r="E34" i="2"/>
  <c r="L64" i="2" s="1"/>
  <c r="D41" i="2"/>
  <c r="S34" i="1" l="1"/>
  <c r="R31" i="1"/>
  <c r="S31" i="1"/>
  <c r="E9" i="1"/>
  <c r="K69" i="1" s="1"/>
  <c r="G33" i="1"/>
  <c r="H33" i="1" s="1"/>
  <c r="F26" i="1"/>
  <c r="G11" i="1"/>
  <c r="H11" i="1" s="1"/>
  <c r="O63" i="2"/>
  <c r="G27" i="2"/>
  <c r="H27" i="2" s="1"/>
  <c r="E26" i="2"/>
  <c r="L63" i="2" s="1"/>
  <c r="F31" i="1"/>
  <c r="F39" i="1" s="1"/>
  <c r="G39" i="1" s="1"/>
  <c r="G24" i="1"/>
  <c r="H24" i="1" s="1"/>
  <c r="F36" i="2"/>
  <c r="F42" i="2" s="1"/>
  <c r="E33" i="3"/>
  <c r="F9" i="2"/>
  <c r="F17" i="2" s="1"/>
  <c r="D33" i="3"/>
  <c r="D3" i="3"/>
  <c r="D4" i="3" s="1"/>
  <c r="E4" i="3"/>
  <c r="B39" i="1"/>
  <c r="B9" i="1"/>
  <c r="B47" i="1" s="1"/>
  <c r="F47" i="1"/>
  <c r="G47" i="1" s="1"/>
  <c r="H47" i="1" s="1"/>
  <c r="H19" i="1"/>
  <c r="B25" i="2"/>
  <c r="B33" i="2" s="1"/>
  <c r="B41" i="2" s="1"/>
  <c r="B67" i="3" s="1"/>
  <c r="J67" i="3" s="1"/>
  <c r="Q69" i="3" s="1"/>
  <c r="Q70" i="3" s="1"/>
  <c r="B17" i="2"/>
  <c r="G25" i="1"/>
  <c r="H25" i="1" s="1"/>
  <c r="G20" i="2"/>
  <c r="H20" i="2" s="1"/>
  <c r="G32" i="1"/>
  <c r="H32" i="1" s="1"/>
  <c r="G28" i="2"/>
  <c r="H28" i="2" s="1"/>
  <c r="F48" i="1"/>
  <c r="G42" i="1"/>
  <c r="H42" i="1" s="1"/>
  <c r="F18" i="2"/>
  <c r="G10" i="2"/>
  <c r="H10" i="2" s="1"/>
  <c r="R64" i="2"/>
  <c r="E31" i="2"/>
  <c r="R69" i="1"/>
  <c r="G9" i="1"/>
  <c r="H9" i="1" s="1"/>
  <c r="G12" i="1"/>
  <c r="H12" i="1" s="1"/>
  <c r="G11" i="2"/>
  <c r="H11" i="2" s="1"/>
  <c r="G12" i="2"/>
  <c r="H12" i="2" s="1"/>
  <c r="R63" i="2"/>
  <c r="E23" i="2"/>
  <c r="E25" i="2"/>
  <c r="K63" i="2" s="1"/>
  <c r="E33" i="2"/>
  <c r="K64" i="2" s="1"/>
  <c r="AH26" i="1"/>
  <c r="R34" i="1"/>
  <c r="AC34" i="1"/>
  <c r="M43" i="1"/>
  <c r="AC43" i="1" s="1"/>
  <c r="AF26" i="1"/>
  <c r="P34" i="1"/>
  <c r="AA24" i="1"/>
  <c r="K31" i="1"/>
  <c r="E15" i="1"/>
  <c r="R70" i="1"/>
  <c r="AI34" i="1"/>
  <c r="S43" i="1"/>
  <c r="AI43" i="1" s="1"/>
  <c r="AE31" i="1"/>
  <c r="O39" i="1"/>
  <c r="AE39" i="1" s="1"/>
  <c r="AI31" i="1"/>
  <c r="S39" i="1"/>
  <c r="AI39" i="1" s="1"/>
  <c r="F34" i="1"/>
  <c r="G26" i="1"/>
  <c r="G48" i="1"/>
  <c r="H48" i="1" s="1"/>
  <c r="AK34" i="1"/>
  <c r="U43" i="1"/>
  <c r="AK43" i="1" s="1"/>
  <c r="AD31" i="1"/>
  <c r="N39" i="1"/>
  <c r="AD39" i="1" s="1"/>
  <c r="AG34" i="1"/>
  <c r="Q43" i="1"/>
  <c r="AG43" i="1" s="1"/>
  <c r="AB31" i="1"/>
  <c r="L39" i="1"/>
  <c r="AB39" i="1" s="1"/>
  <c r="AF31" i="1"/>
  <c r="P39" i="1"/>
  <c r="AF39" i="1" s="1"/>
  <c r="AJ31" i="1"/>
  <c r="T39" i="1"/>
  <c r="AJ39" i="1" s="1"/>
  <c r="AH31" i="1"/>
  <c r="R39" i="1"/>
  <c r="AH39" i="1" s="1"/>
  <c r="AB26" i="1"/>
  <c r="L34" i="1"/>
  <c r="AJ26" i="1"/>
  <c r="T34" i="1"/>
  <c r="AD26" i="1"/>
  <c r="N34" i="1"/>
  <c r="AC31" i="1"/>
  <c r="M39" i="1"/>
  <c r="AC39" i="1" s="1"/>
  <c r="AG31" i="1"/>
  <c r="Q39" i="1"/>
  <c r="AG39" i="1" s="1"/>
  <c r="AK31" i="1"/>
  <c r="U39" i="1"/>
  <c r="AK39" i="1" s="1"/>
  <c r="E17" i="1"/>
  <c r="E41" i="2"/>
  <c r="K65" i="2" s="1"/>
  <c r="E43" i="2"/>
  <c r="R65" i="2" s="1"/>
  <c r="K61" i="2"/>
  <c r="G35" i="2"/>
  <c r="H35" i="2" s="1"/>
  <c r="E42" i="2"/>
  <c r="Q64" i="2"/>
  <c r="G37" i="2"/>
  <c r="H37" i="2" s="1"/>
  <c r="G31" i="1" l="1"/>
  <c r="H31" i="1" s="1"/>
  <c r="H13" i="1"/>
  <c r="I12" i="1" s="1"/>
  <c r="G36" i="2"/>
  <c r="H36" i="2" s="1"/>
  <c r="G9" i="2"/>
  <c r="Q14" i="2" s="1"/>
  <c r="O69" i="3"/>
  <c r="O70" i="3" s="1"/>
  <c r="H49" i="1"/>
  <c r="F25" i="2"/>
  <c r="G17" i="2"/>
  <c r="H17" i="2" s="1"/>
  <c r="H39" i="1"/>
  <c r="G13" i="1"/>
  <c r="G18" i="2"/>
  <c r="F26" i="2"/>
  <c r="M69" i="3"/>
  <c r="M70" i="3" s="1"/>
  <c r="T69" i="3"/>
  <c r="T70" i="3" s="1"/>
  <c r="V69" i="3"/>
  <c r="V70" i="3" s="1"/>
  <c r="R69" i="3"/>
  <c r="R70" i="3" s="1"/>
  <c r="L69" i="3"/>
  <c r="L70" i="3" s="1"/>
  <c r="K69" i="3"/>
  <c r="K70" i="3" s="1"/>
  <c r="P69" i="3"/>
  <c r="P70" i="3" s="1"/>
  <c r="N69" i="3"/>
  <c r="N70" i="3" s="1"/>
  <c r="U69" i="3"/>
  <c r="U70" i="3" s="1"/>
  <c r="S69" i="3"/>
  <c r="S70" i="3" s="1"/>
  <c r="I10" i="1"/>
  <c r="J10" i="1" s="1"/>
  <c r="I11" i="1"/>
  <c r="I9" i="1"/>
  <c r="J9" i="1" s="1"/>
  <c r="I48" i="1"/>
  <c r="I47" i="1"/>
  <c r="AJ34" i="1"/>
  <c r="T43" i="1"/>
  <c r="AJ43" i="1" s="1"/>
  <c r="H26" i="1"/>
  <c r="H27" i="1" s="1"/>
  <c r="G27" i="1"/>
  <c r="AF34" i="1"/>
  <c r="P43" i="1"/>
  <c r="AF43" i="1" s="1"/>
  <c r="AD34" i="1"/>
  <c r="N43" i="1"/>
  <c r="AD43" i="1" s="1"/>
  <c r="AB34" i="1"/>
  <c r="L43" i="1"/>
  <c r="AB43" i="1" s="1"/>
  <c r="F43" i="1"/>
  <c r="G43" i="1" s="1"/>
  <c r="G34" i="1"/>
  <c r="AH34" i="1"/>
  <c r="R43" i="1"/>
  <c r="AH43" i="1" s="1"/>
  <c r="K70" i="1"/>
  <c r="G17" i="1"/>
  <c r="AA31" i="1"/>
  <c r="K39" i="1"/>
  <c r="AA39" i="1" s="1"/>
  <c r="X12" i="1"/>
  <c r="J12" i="1"/>
  <c r="Q65" i="2"/>
  <c r="G42" i="2"/>
  <c r="H42" i="2" s="1"/>
  <c r="M14" i="2"/>
  <c r="D109" i="2" s="1"/>
  <c r="D116" i="2" s="1"/>
  <c r="U14" i="2"/>
  <c r="H9" i="2"/>
  <c r="H13" i="2" s="1"/>
  <c r="N14" i="2"/>
  <c r="R14" i="2"/>
  <c r="G109" i="2" s="1"/>
  <c r="G116" i="2" s="1"/>
  <c r="V14" i="2"/>
  <c r="H109" i="2" s="1"/>
  <c r="H116" i="2" s="1"/>
  <c r="G13" i="2"/>
  <c r="O14" i="2"/>
  <c r="E109" i="2" s="1"/>
  <c r="E116" i="2" s="1"/>
  <c r="S14" i="2"/>
  <c r="K14" i="2"/>
  <c r="C109" i="2" s="1"/>
  <c r="C116" i="2" s="1"/>
  <c r="L14" i="2"/>
  <c r="P14" i="2"/>
  <c r="F109" i="2" s="1"/>
  <c r="F116" i="2" s="1"/>
  <c r="T14" i="2"/>
  <c r="F33" i="2" l="1"/>
  <c r="G25" i="2"/>
  <c r="H25" i="2" s="1"/>
  <c r="G26" i="2"/>
  <c r="F34" i="2"/>
  <c r="G34" i="2" s="1"/>
  <c r="H34" i="2" s="1"/>
  <c r="N22" i="2"/>
  <c r="S22" i="2"/>
  <c r="M22" i="2"/>
  <c r="D110" i="2" s="1"/>
  <c r="D117" i="2" s="1"/>
  <c r="H18" i="2"/>
  <c r="H21" i="2" s="1"/>
  <c r="I19" i="2" s="1"/>
  <c r="R22" i="2"/>
  <c r="G110" i="2" s="1"/>
  <c r="G117" i="2" s="1"/>
  <c r="K22" i="2"/>
  <c r="C110" i="2" s="1"/>
  <c r="C117" i="2" s="1"/>
  <c r="U22" i="2"/>
  <c r="V22" i="2"/>
  <c r="H110" i="2" s="1"/>
  <c r="H117" i="2" s="1"/>
  <c r="L22" i="2"/>
  <c r="O22" i="2"/>
  <c r="E110" i="2" s="1"/>
  <c r="E117" i="2" s="1"/>
  <c r="T22" i="2"/>
  <c r="P22" i="2"/>
  <c r="F110" i="2" s="1"/>
  <c r="F117" i="2" s="1"/>
  <c r="G21" i="2"/>
  <c r="Q22" i="2"/>
  <c r="X10" i="1"/>
  <c r="X11" i="1"/>
  <c r="I13" i="1"/>
  <c r="J11" i="1"/>
  <c r="N13" i="1" s="1"/>
  <c r="N53" i="1" s="1"/>
  <c r="X9" i="1"/>
  <c r="X13" i="1" s="1"/>
  <c r="H34" i="1"/>
  <c r="H35" i="1" s="1"/>
  <c r="G35" i="1"/>
  <c r="I24" i="1"/>
  <c r="I25" i="1"/>
  <c r="I26" i="1"/>
  <c r="X47" i="1"/>
  <c r="J47" i="1"/>
  <c r="H17" i="1"/>
  <c r="H20" i="1" s="1"/>
  <c r="G20" i="1"/>
  <c r="H43" i="1"/>
  <c r="H44" i="1" s="1"/>
  <c r="G44" i="1"/>
  <c r="X48" i="1"/>
  <c r="I49" i="1"/>
  <c r="J48" i="1"/>
  <c r="I11" i="2"/>
  <c r="I9" i="2"/>
  <c r="X9" i="2" s="1"/>
  <c r="I12" i="2"/>
  <c r="I10" i="2"/>
  <c r="I18" i="2" l="1"/>
  <c r="I17" i="2"/>
  <c r="X17" i="2" s="1"/>
  <c r="I20" i="2"/>
  <c r="T13" i="1"/>
  <c r="T53" i="1" s="1"/>
  <c r="G33" i="2"/>
  <c r="F41" i="2"/>
  <c r="G41" i="2" s="1"/>
  <c r="Q13" i="1"/>
  <c r="Q53" i="1" s="1"/>
  <c r="H26" i="2"/>
  <c r="H29" i="2" s="1"/>
  <c r="M30" i="2"/>
  <c r="D111" i="2" s="1"/>
  <c r="D118" i="2" s="1"/>
  <c r="O30" i="2"/>
  <c r="E111" i="2" s="1"/>
  <c r="E118" i="2" s="1"/>
  <c r="V30" i="2"/>
  <c r="H111" i="2" s="1"/>
  <c r="H118" i="2" s="1"/>
  <c r="U30" i="2"/>
  <c r="T30" i="2"/>
  <c r="P30" i="2"/>
  <c r="F111" i="2" s="1"/>
  <c r="F118" i="2" s="1"/>
  <c r="L30" i="2"/>
  <c r="N30" i="2"/>
  <c r="K30" i="2"/>
  <c r="C111" i="2" s="1"/>
  <c r="C118" i="2" s="1"/>
  <c r="G29" i="2"/>
  <c r="S30" i="2"/>
  <c r="R30" i="2"/>
  <c r="G111" i="2" s="1"/>
  <c r="G118" i="2" s="1"/>
  <c r="Q30" i="2"/>
  <c r="L13" i="1"/>
  <c r="L53" i="1" s="1"/>
  <c r="V13" i="1"/>
  <c r="V53" i="1" s="1"/>
  <c r="P61" i="1" s="1"/>
  <c r="S13" i="1"/>
  <c r="S53" i="1" s="1"/>
  <c r="O13" i="1"/>
  <c r="O53" i="1" s="1"/>
  <c r="M61" i="1" s="1"/>
  <c r="U13" i="1"/>
  <c r="U53" i="1" s="1"/>
  <c r="M13" i="1"/>
  <c r="M53" i="1" s="1"/>
  <c r="L61" i="1" s="1"/>
  <c r="P13" i="1"/>
  <c r="P53" i="1" s="1"/>
  <c r="N61" i="1" s="1"/>
  <c r="K13" i="1"/>
  <c r="K53" i="1" s="1"/>
  <c r="K61" i="1" s="1"/>
  <c r="R13" i="1"/>
  <c r="R53" i="1" s="1"/>
  <c r="O61" i="1" s="1"/>
  <c r="I33" i="1"/>
  <c r="I32" i="1"/>
  <c r="I31" i="1"/>
  <c r="I34" i="1"/>
  <c r="X49" i="1"/>
  <c r="X24" i="1"/>
  <c r="I27" i="1"/>
  <c r="J24" i="1"/>
  <c r="J26" i="1"/>
  <c r="X26" i="1"/>
  <c r="R49" i="1"/>
  <c r="R58" i="1" s="1"/>
  <c r="O66" i="1" s="1"/>
  <c r="K49" i="1"/>
  <c r="K58" i="1" s="1"/>
  <c r="K66" i="1" s="1"/>
  <c r="L49" i="1"/>
  <c r="L58" i="1" s="1"/>
  <c r="O49" i="1"/>
  <c r="O58" i="1" s="1"/>
  <c r="M66" i="1" s="1"/>
  <c r="P49" i="1"/>
  <c r="P58" i="1" s="1"/>
  <c r="N66" i="1" s="1"/>
  <c r="N49" i="1"/>
  <c r="N58" i="1" s="1"/>
  <c r="V49" i="1"/>
  <c r="V58" i="1" s="1"/>
  <c r="P66" i="1" s="1"/>
  <c r="M49" i="1"/>
  <c r="M58" i="1" s="1"/>
  <c r="L66" i="1" s="1"/>
  <c r="T49" i="1"/>
  <c r="T58" i="1" s="1"/>
  <c r="Q49" i="1"/>
  <c r="Q58" i="1" s="1"/>
  <c r="U49" i="1"/>
  <c r="U58" i="1" s="1"/>
  <c r="S49" i="1"/>
  <c r="S58" i="1" s="1"/>
  <c r="I40" i="1"/>
  <c r="I39" i="1"/>
  <c r="I42" i="1"/>
  <c r="I41" i="1"/>
  <c r="I43" i="1"/>
  <c r="I18" i="1"/>
  <c r="I17" i="1"/>
  <c r="I19" i="1"/>
  <c r="J25" i="1"/>
  <c r="X25" i="1"/>
  <c r="Y12" i="1"/>
  <c r="Z12" i="1" s="1"/>
  <c r="Y9" i="1"/>
  <c r="Y10" i="1"/>
  <c r="Z10" i="1" s="1"/>
  <c r="Y11" i="1"/>
  <c r="Z11" i="1" s="1"/>
  <c r="J18" i="2"/>
  <c r="X18" i="2"/>
  <c r="J20" i="2"/>
  <c r="X20" i="2"/>
  <c r="J11" i="2"/>
  <c r="X11" i="2"/>
  <c r="J10" i="2"/>
  <c r="X10" i="2"/>
  <c r="J19" i="2"/>
  <c r="X19" i="2"/>
  <c r="J12" i="2"/>
  <c r="X12" i="2"/>
  <c r="J17" i="2"/>
  <c r="I21" i="2"/>
  <c r="J9" i="2"/>
  <c r="I13" i="2"/>
  <c r="M44" i="2" l="1"/>
  <c r="D113" i="2" s="1"/>
  <c r="D120" i="2" s="1"/>
  <c r="U44" i="2"/>
  <c r="L44" i="2"/>
  <c r="Q44" i="2"/>
  <c r="H41" i="2"/>
  <c r="H43" i="2" s="1"/>
  <c r="S44" i="2"/>
  <c r="R44" i="2"/>
  <c r="G113" i="2" s="1"/>
  <c r="G120" i="2" s="1"/>
  <c r="O44" i="2"/>
  <c r="E113" i="2" s="1"/>
  <c r="E120" i="2" s="1"/>
  <c r="G44" i="2"/>
  <c r="K44" i="2"/>
  <c r="C113" i="2" s="1"/>
  <c r="C120" i="2" s="1"/>
  <c r="P44" i="2"/>
  <c r="F113" i="2" s="1"/>
  <c r="F120" i="2" s="1"/>
  <c r="T44" i="2"/>
  <c r="V44" i="2"/>
  <c r="H113" i="2" s="1"/>
  <c r="H120" i="2" s="1"/>
  <c r="N44" i="2"/>
  <c r="G38" i="2"/>
  <c r="V39" i="2"/>
  <c r="H112" i="2" s="1"/>
  <c r="H119" i="2" s="1"/>
  <c r="H33" i="2"/>
  <c r="H38" i="2" s="1"/>
  <c r="N39" i="2"/>
  <c r="K39" i="2"/>
  <c r="C112" i="2" s="1"/>
  <c r="C119" i="2" s="1"/>
  <c r="M39" i="2"/>
  <c r="D112" i="2" s="1"/>
  <c r="D119" i="2" s="1"/>
  <c r="U39" i="2"/>
  <c r="Q39" i="2"/>
  <c r="R39" i="2"/>
  <c r="G112" i="2" s="1"/>
  <c r="G119" i="2" s="1"/>
  <c r="T39" i="2"/>
  <c r="O39" i="2"/>
  <c r="E112" i="2" s="1"/>
  <c r="E119" i="2" s="1"/>
  <c r="P39" i="2"/>
  <c r="F112" i="2" s="1"/>
  <c r="F119" i="2" s="1"/>
  <c r="S39" i="2"/>
  <c r="L39" i="2"/>
  <c r="I28" i="2"/>
  <c r="I26" i="2"/>
  <c r="I27" i="2"/>
  <c r="I25" i="2"/>
  <c r="J43" i="1"/>
  <c r="X43" i="1"/>
  <c r="J40" i="1"/>
  <c r="X40" i="1"/>
  <c r="U27" i="1"/>
  <c r="U55" i="1" s="1"/>
  <c r="R27" i="1"/>
  <c r="R55" i="1" s="1"/>
  <c r="O63" i="1" s="1"/>
  <c r="V27" i="1"/>
  <c r="V55" i="1" s="1"/>
  <c r="P63" i="1" s="1"/>
  <c r="P27" i="1"/>
  <c r="P55" i="1" s="1"/>
  <c r="N63" i="1" s="1"/>
  <c r="S27" i="1"/>
  <c r="S55" i="1" s="1"/>
  <c r="K27" i="1"/>
  <c r="K55" i="1" s="1"/>
  <c r="K63" i="1" s="1"/>
  <c r="Q27" i="1"/>
  <c r="Q55" i="1" s="1"/>
  <c r="O27" i="1"/>
  <c r="O55" i="1" s="1"/>
  <c r="M63" i="1" s="1"/>
  <c r="L27" i="1"/>
  <c r="L55" i="1" s="1"/>
  <c r="N27" i="1"/>
  <c r="N55" i="1" s="1"/>
  <c r="T27" i="1"/>
  <c r="T55" i="1" s="1"/>
  <c r="M27" i="1"/>
  <c r="M55" i="1" s="1"/>
  <c r="L63" i="1" s="1"/>
  <c r="X31" i="1"/>
  <c r="J31" i="1"/>
  <c r="I35" i="1"/>
  <c r="X39" i="1"/>
  <c r="I44" i="1"/>
  <c r="J39" i="1"/>
  <c r="J34" i="1"/>
  <c r="X34" i="1"/>
  <c r="Z9" i="1"/>
  <c r="Y13" i="1"/>
  <c r="X19" i="1"/>
  <c r="J19" i="1"/>
  <c r="J41" i="1"/>
  <c r="X41" i="1"/>
  <c r="J32" i="1"/>
  <c r="X32" i="1"/>
  <c r="X18" i="1"/>
  <c r="J18" i="1"/>
  <c r="X27" i="1"/>
  <c r="I20" i="1"/>
  <c r="X17" i="1"/>
  <c r="J17" i="1"/>
  <c r="J42" i="1"/>
  <c r="X42" i="1"/>
  <c r="Y48" i="1"/>
  <c r="Z48" i="1" s="1"/>
  <c r="Y47" i="1"/>
  <c r="J33" i="1"/>
  <c r="X33" i="1"/>
  <c r="X13" i="2"/>
  <c r="Y10" i="2" s="1"/>
  <c r="Z10" i="2" s="1"/>
  <c r="X21" i="2"/>
  <c r="Y18" i="2" s="1"/>
  <c r="Z18" i="2" s="1"/>
  <c r="T21" i="2"/>
  <c r="T48" i="2" s="1"/>
  <c r="Q21" i="2"/>
  <c r="Q48" i="2" s="1"/>
  <c r="L21" i="2"/>
  <c r="L48" i="2" s="1"/>
  <c r="P21" i="2"/>
  <c r="P48" i="2" s="1"/>
  <c r="N55" i="2" s="1"/>
  <c r="O21" i="2"/>
  <c r="O48" i="2" s="1"/>
  <c r="M55" i="2" s="1"/>
  <c r="S21" i="2"/>
  <c r="S48" i="2" s="1"/>
  <c r="V21" i="2"/>
  <c r="V48" i="2" s="1"/>
  <c r="P55" i="2" s="1"/>
  <c r="K21" i="2"/>
  <c r="K48" i="2" s="1"/>
  <c r="K55" i="2" s="1"/>
  <c r="U21" i="2"/>
  <c r="U48" i="2" s="1"/>
  <c r="N21" i="2"/>
  <c r="N48" i="2" s="1"/>
  <c r="M21" i="2"/>
  <c r="M48" i="2" s="1"/>
  <c r="L55" i="2" s="1"/>
  <c r="R21" i="2"/>
  <c r="R48" i="2" s="1"/>
  <c r="O55" i="2" s="1"/>
  <c r="T13" i="2"/>
  <c r="T47" i="2" s="1"/>
  <c r="Q13" i="2"/>
  <c r="Q47" i="2" s="1"/>
  <c r="M13" i="2"/>
  <c r="M47" i="2" s="1"/>
  <c r="L54" i="2" s="1"/>
  <c r="V13" i="2"/>
  <c r="V47" i="2" s="1"/>
  <c r="P54" i="2" s="1"/>
  <c r="R13" i="2"/>
  <c r="R47" i="2" s="1"/>
  <c r="O54" i="2" s="1"/>
  <c r="K13" i="2"/>
  <c r="K47" i="2" s="1"/>
  <c r="K54" i="2" s="1"/>
  <c r="U13" i="2"/>
  <c r="U47" i="2" s="1"/>
  <c r="L13" i="2"/>
  <c r="L47" i="2" s="1"/>
  <c r="P13" i="2"/>
  <c r="P47" i="2" s="1"/>
  <c r="N54" i="2" s="1"/>
  <c r="S13" i="2"/>
  <c r="S47" i="2" s="1"/>
  <c r="N13" i="2"/>
  <c r="N47" i="2" s="1"/>
  <c r="O13" i="2"/>
  <c r="O47" i="2" s="1"/>
  <c r="M54" i="2" s="1"/>
  <c r="I41" i="2" l="1"/>
  <c r="I42" i="2"/>
  <c r="I36" i="2"/>
  <c r="I37" i="2"/>
  <c r="I34" i="2"/>
  <c r="I35" i="2"/>
  <c r="I33" i="2"/>
  <c r="X25" i="2"/>
  <c r="I29" i="2"/>
  <c r="J25" i="2"/>
  <c r="J27" i="2"/>
  <c r="X27" i="2"/>
  <c r="J26" i="2"/>
  <c r="X26" i="2"/>
  <c r="J28" i="2"/>
  <c r="X28" i="2"/>
  <c r="X44" i="1"/>
  <c r="X20" i="1"/>
  <c r="X35" i="1"/>
  <c r="Z47" i="1"/>
  <c r="Y49" i="1"/>
  <c r="Y25" i="1"/>
  <c r="Z25" i="1" s="1"/>
  <c r="Y24" i="1"/>
  <c r="Z24" i="1" s="1"/>
  <c r="Y26" i="1"/>
  <c r="R20" i="1"/>
  <c r="R54" i="1" s="1"/>
  <c r="O62" i="1" s="1"/>
  <c r="K20" i="1"/>
  <c r="K54" i="1" s="1"/>
  <c r="K62" i="1" s="1"/>
  <c r="T20" i="1"/>
  <c r="T54" i="1" s="1"/>
  <c r="U20" i="1"/>
  <c r="U54" i="1" s="1"/>
  <c r="S20" i="1"/>
  <c r="S54" i="1" s="1"/>
  <c r="N20" i="1"/>
  <c r="N54" i="1" s="1"/>
  <c r="V20" i="1"/>
  <c r="V54" i="1" s="1"/>
  <c r="P62" i="1" s="1"/>
  <c r="M20" i="1"/>
  <c r="M54" i="1" s="1"/>
  <c r="L62" i="1" s="1"/>
  <c r="O20" i="1"/>
  <c r="O54" i="1" s="1"/>
  <c r="M62" i="1" s="1"/>
  <c r="L20" i="1"/>
  <c r="L54" i="1" s="1"/>
  <c r="P20" i="1"/>
  <c r="P54" i="1" s="1"/>
  <c r="N62" i="1" s="1"/>
  <c r="Q20" i="1"/>
  <c r="Q54" i="1" s="1"/>
  <c r="AB13" i="1"/>
  <c r="AB53" i="1" s="1"/>
  <c r="AF13" i="1"/>
  <c r="AF53" i="1" s="1"/>
  <c r="AD61" i="1" s="1"/>
  <c r="AJ13" i="1"/>
  <c r="AJ53" i="1" s="1"/>
  <c r="AC13" i="1"/>
  <c r="AC53" i="1" s="1"/>
  <c r="AB61" i="1" s="1"/>
  <c r="AG13" i="1"/>
  <c r="AG53" i="1" s="1"/>
  <c r="AK13" i="1"/>
  <c r="AK53" i="1" s="1"/>
  <c r="AD13" i="1"/>
  <c r="AD53" i="1" s="1"/>
  <c r="AH13" i="1"/>
  <c r="AH53" i="1" s="1"/>
  <c r="AE61" i="1" s="1"/>
  <c r="AL13" i="1"/>
  <c r="AL53" i="1" s="1"/>
  <c r="AF61" i="1" s="1"/>
  <c r="AA13" i="1"/>
  <c r="AA53" i="1" s="1"/>
  <c r="AA61" i="1" s="1"/>
  <c r="AE13" i="1"/>
  <c r="AE53" i="1" s="1"/>
  <c r="AC61" i="1" s="1"/>
  <c r="AI13" i="1"/>
  <c r="AI53" i="1" s="1"/>
  <c r="R44" i="1"/>
  <c r="R57" i="1" s="1"/>
  <c r="O65" i="1" s="1"/>
  <c r="V44" i="1"/>
  <c r="V57" i="1" s="1"/>
  <c r="P65" i="1" s="1"/>
  <c r="S44" i="1"/>
  <c r="S57" i="1" s="1"/>
  <c r="K44" i="1"/>
  <c r="K57" i="1" s="1"/>
  <c r="K65" i="1" s="1"/>
  <c r="N44" i="1"/>
  <c r="N57" i="1" s="1"/>
  <c r="Q44" i="1"/>
  <c r="Q57" i="1" s="1"/>
  <c r="U44" i="1"/>
  <c r="U57" i="1" s="1"/>
  <c r="M44" i="1"/>
  <c r="M57" i="1" s="1"/>
  <c r="L65" i="1" s="1"/>
  <c r="O44" i="1"/>
  <c r="O57" i="1" s="1"/>
  <c r="M65" i="1" s="1"/>
  <c r="T44" i="1"/>
  <c r="T57" i="1" s="1"/>
  <c r="P44" i="1"/>
  <c r="P57" i="1" s="1"/>
  <c r="N65" i="1" s="1"/>
  <c r="L44" i="1"/>
  <c r="L57" i="1" s="1"/>
  <c r="R35" i="1"/>
  <c r="R56" i="1" s="1"/>
  <c r="O64" i="1" s="1"/>
  <c r="U35" i="1"/>
  <c r="U56" i="1" s="1"/>
  <c r="M35" i="1"/>
  <c r="M56" i="1" s="1"/>
  <c r="L64" i="1" s="1"/>
  <c r="P35" i="1"/>
  <c r="P56" i="1" s="1"/>
  <c r="N64" i="1" s="1"/>
  <c r="T35" i="1"/>
  <c r="T56" i="1" s="1"/>
  <c r="V35" i="1"/>
  <c r="V56" i="1" s="1"/>
  <c r="P64" i="1" s="1"/>
  <c r="K35" i="1"/>
  <c r="K56" i="1" s="1"/>
  <c r="K64" i="1" s="1"/>
  <c r="S35" i="1"/>
  <c r="S56" i="1" s="1"/>
  <c r="Q35" i="1"/>
  <c r="Q56" i="1" s="1"/>
  <c r="O35" i="1"/>
  <c r="O56" i="1" s="1"/>
  <c r="M64" i="1" s="1"/>
  <c r="L35" i="1"/>
  <c r="L56" i="1" s="1"/>
  <c r="N35" i="1"/>
  <c r="N56" i="1" s="1"/>
  <c r="Y12" i="2"/>
  <c r="Z12" i="2" s="1"/>
  <c r="Y17" i="2"/>
  <c r="Z17" i="2" s="1"/>
  <c r="Y11" i="2"/>
  <c r="Z11" i="2" s="1"/>
  <c r="Y19" i="2"/>
  <c r="Z19" i="2" s="1"/>
  <c r="Y9" i="2"/>
  <c r="Z9" i="2" s="1"/>
  <c r="Y20" i="2"/>
  <c r="Z20" i="2" s="1"/>
  <c r="X33" i="2" l="1"/>
  <c r="J33" i="2"/>
  <c r="I38" i="2"/>
  <c r="J35" i="2"/>
  <c r="X35" i="2"/>
  <c r="J34" i="2"/>
  <c r="X34" i="2"/>
  <c r="X37" i="2"/>
  <c r="J37" i="2"/>
  <c r="X36" i="2"/>
  <c r="J36" i="2"/>
  <c r="X42" i="2"/>
  <c r="I43" i="2"/>
  <c r="J42" i="2"/>
  <c r="X41" i="2"/>
  <c r="X43" i="2" s="1"/>
  <c r="J41" i="2"/>
  <c r="R29" i="2"/>
  <c r="R49" i="2" s="1"/>
  <c r="O56" i="2" s="1"/>
  <c r="N29" i="2"/>
  <c r="N49" i="2" s="1"/>
  <c r="O29" i="2"/>
  <c r="O49" i="2" s="1"/>
  <c r="M56" i="2" s="1"/>
  <c r="V29" i="2"/>
  <c r="V49" i="2" s="1"/>
  <c r="P56" i="2" s="1"/>
  <c r="U29" i="2"/>
  <c r="U49" i="2" s="1"/>
  <c r="Q29" i="2"/>
  <c r="Q49" i="2" s="1"/>
  <c r="L29" i="2"/>
  <c r="L49" i="2" s="1"/>
  <c r="M29" i="2"/>
  <c r="M49" i="2" s="1"/>
  <c r="L56" i="2" s="1"/>
  <c r="S29" i="2"/>
  <c r="S49" i="2" s="1"/>
  <c r="P29" i="2"/>
  <c r="P49" i="2" s="1"/>
  <c r="N56" i="2" s="1"/>
  <c r="T29" i="2"/>
  <c r="T49" i="2" s="1"/>
  <c r="K29" i="2"/>
  <c r="K49" i="2" s="1"/>
  <c r="K56" i="2" s="1"/>
  <c r="X29" i="2"/>
  <c r="Y27" i="1"/>
  <c r="Z26" i="1"/>
  <c r="AA27" i="1" s="1"/>
  <c r="AA55" i="1" s="1"/>
  <c r="AA63" i="1" s="1"/>
  <c r="AB49" i="1"/>
  <c r="AB58" i="1" s="1"/>
  <c r="AF49" i="1"/>
  <c r="AF58" i="1" s="1"/>
  <c r="AD66" i="1" s="1"/>
  <c r="AJ49" i="1"/>
  <c r="AJ58" i="1" s="1"/>
  <c r="AC49" i="1"/>
  <c r="AC58" i="1" s="1"/>
  <c r="AB66" i="1" s="1"/>
  <c r="AG49" i="1"/>
  <c r="AG58" i="1" s="1"/>
  <c r="AK49" i="1"/>
  <c r="AK58" i="1" s="1"/>
  <c r="AD49" i="1"/>
  <c r="AD58" i="1" s="1"/>
  <c r="AH49" i="1"/>
  <c r="AH58" i="1" s="1"/>
  <c r="AE66" i="1" s="1"/>
  <c r="AL49" i="1"/>
  <c r="AL58" i="1" s="1"/>
  <c r="AF66" i="1" s="1"/>
  <c r="AI49" i="1"/>
  <c r="AI58" i="1" s="1"/>
  <c r="AA49" i="1"/>
  <c r="AA58" i="1" s="1"/>
  <c r="AA66" i="1" s="1"/>
  <c r="AE49" i="1"/>
  <c r="AE58" i="1" s="1"/>
  <c r="AC66" i="1" s="1"/>
  <c r="Y32" i="1"/>
  <c r="Z32" i="1" s="1"/>
  <c r="Y33" i="1"/>
  <c r="Z33" i="1" s="1"/>
  <c r="Y34" i="1"/>
  <c r="Z34" i="1" s="1"/>
  <c r="Y31" i="1"/>
  <c r="Y43" i="1"/>
  <c r="Z43" i="1" s="1"/>
  <c r="Y40" i="1"/>
  <c r="Z40" i="1" s="1"/>
  <c r="Y39" i="1"/>
  <c r="Y41" i="1"/>
  <c r="Z41" i="1" s="1"/>
  <c r="Y42" i="1"/>
  <c r="Z42" i="1" s="1"/>
  <c r="Y19" i="1"/>
  <c r="Z19" i="1" s="1"/>
  <c r="Y18" i="1"/>
  <c r="Z18" i="1" s="1"/>
  <c r="Y17" i="1"/>
  <c r="Y21" i="2"/>
  <c r="Y13" i="2"/>
  <c r="AA21" i="2"/>
  <c r="AA48" i="2" s="1"/>
  <c r="AA55" i="2" s="1"/>
  <c r="AL21" i="2"/>
  <c r="AL48" i="2" s="1"/>
  <c r="AF55" i="2" s="1"/>
  <c r="AG21" i="2"/>
  <c r="AG48" i="2" s="1"/>
  <c r="AF21" i="2"/>
  <c r="AF48" i="2" s="1"/>
  <c r="AD55" i="2" s="1"/>
  <c r="AH21" i="2"/>
  <c r="AH48" i="2" s="1"/>
  <c r="AE55" i="2" s="1"/>
  <c r="AC21" i="2"/>
  <c r="AC48" i="2" s="1"/>
  <c r="AB55" i="2" s="1"/>
  <c r="AB21" i="2"/>
  <c r="AB48" i="2" s="1"/>
  <c r="AJ21" i="2"/>
  <c r="AJ48" i="2" s="1"/>
  <c r="AD21" i="2"/>
  <c r="AD48" i="2" s="1"/>
  <c r="AE21" i="2"/>
  <c r="AE48" i="2" s="1"/>
  <c r="AC55" i="2" s="1"/>
  <c r="AI21" i="2"/>
  <c r="AI48" i="2" s="1"/>
  <c r="AK21" i="2"/>
  <c r="AK48" i="2" s="1"/>
  <c r="AA13" i="2"/>
  <c r="AA47" i="2" s="1"/>
  <c r="AA54" i="2" s="1"/>
  <c r="AL13" i="2"/>
  <c r="AL47" i="2" s="1"/>
  <c r="AF54" i="2" s="1"/>
  <c r="AG13" i="2"/>
  <c r="AG47" i="2" s="1"/>
  <c r="AB13" i="2"/>
  <c r="AB47" i="2" s="1"/>
  <c r="AH13" i="2"/>
  <c r="AH47" i="2" s="1"/>
  <c r="AE54" i="2" s="1"/>
  <c r="AC13" i="2"/>
  <c r="AC47" i="2" s="1"/>
  <c r="AB54" i="2" s="1"/>
  <c r="AI13" i="2"/>
  <c r="AI47" i="2" s="1"/>
  <c r="AD13" i="2"/>
  <c r="AD47" i="2" s="1"/>
  <c r="AJ13" i="2"/>
  <c r="AJ47" i="2" s="1"/>
  <c r="AE13" i="2"/>
  <c r="AE47" i="2" s="1"/>
  <c r="AC54" i="2" s="1"/>
  <c r="AK13" i="2"/>
  <c r="AK47" i="2" s="1"/>
  <c r="AF13" i="2"/>
  <c r="AF47" i="2" s="1"/>
  <c r="AD54" i="2" s="1"/>
  <c r="V43" i="2" l="1"/>
  <c r="V51" i="2" s="1"/>
  <c r="P58" i="2" s="1"/>
  <c r="P43" i="2"/>
  <c r="P51" i="2" s="1"/>
  <c r="N58" i="2" s="1"/>
  <c r="T43" i="2"/>
  <c r="T51" i="2" s="1"/>
  <c r="U43" i="2"/>
  <c r="U51" i="2" s="1"/>
  <c r="R43" i="2"/>
  <c r="R51" i="2" s="1"/>
  <c r="O58" i="2" s="1"/>
  <c r="Q43" i="2"/>
  <c r="Q51" i="2" s="1"/>
  <c r="L43" i="2"/>
  <c r="L51" i="2" s="1"/>
  <c r="N43" i="2"/>
  <c r="N51" i="2" s="1"/>
  <c r="K43" i="2"/>
  <c r="K51" i="2" s="1"/>
  <c r="K58" i="2" s="1"/>
  <c r="S43" i="2"/>
  <c r="S51" i="2" s="1"/>
  <c r="M43" i="2"/>
  <c r="M51" i="2" s="1"/>
  <c r="L58" i="2" s="1"/>
  <c r="O43" i="2"/>
  <c r="O51" i="2" s="1"/>
  <c r="M58" i="2" s="1"/>
  <c r="Y42" i="2"/>
  <c r="Z42" i="2" s="1"/>
  <c r="Y41" i="2"/>
  <c r="S38" i="2"/>
  <c r="S50" i="2" s="1"/>
  <c r="M38" i="2"/>
  <c r="M50" i="2" s="1"/>
  <c r="L57" i="2" s="1"/>
  <c r="N38" i="2"/>
  <c r="N50" i="2" s="1"/>
  <c r="U38" i="2"/>
  <c r="U50" i="2" s="1"/>
  <c r="R38" i="2"/>
  <c r="R50" i="2" s="1"/>
  <c r="O57" i="2" s="1"/>
  <c r="T38" i="2"/>
  <c r="T50" i="2" s="1"/>
  <c r="P38" i="2"/>
  <c r="P50" i="2" s="1"/>
  <c r="N57" i="2" s="1"/>
  <c r="K38" i="2"/>
  <c r="K50" i="2" s="1"/>
  <c r="K57" i="2" s="1"/>
  <c r="O38" i="2"/>
  <c r="O50" i="2" s="1"/>
  <c r="M57" i="2" s="1"/>
  <c r="V38" i="2"/>
  <c r="V50" i="2" s="1"/>
  <c r="P57" i="2" s="1"/>
  <c r="L38" i="2"/>
  <c r="L50" i="2" s="1"/>
  <c r="Q38" i="2"/>
  <c r="Q50" i="2" s="1"/>
  <c r="X38" i="2"/>
  <c r="Y27" i="2"/>
  <c r="Z27" i="2" s="1"/>
  <c r="Y25" i="2"/>
  <c r="Y26" i="2"/>
  <c r="Z26" i="2" s="1"/>
  <c r="Y28" i="2"/>
  <c r="Z28" i="2" s="1"/>
  <c r="AD27" i="1"/>
  <c r="AD55" i="1" s="1"/>
  <c r="AB27" i="1"/>
  <c r="AB55" i="1" s="1"/>
  <c r="AL27" i="1"/>
  <c r="AL55" i="1" s="1"/>
  <c r="AF63" i="1" s="1"/>
  <c r="AG27" i="1"/>
  <c r="AG55" i="1" s="1"/>
  <c r="AI27" i="1"/>
  <c r="AI55" i="1" s="1"/>
  <c r="AF27" i="1"/>
  <c r="AF55" i="1" s="1"/>
  <c r="AD63" i="1" s="1"/>
  <c r="AK27" i="1"/>
  <c r="AK55" i="1" s="1"/>
  <c r="AH27" i="1"/>
  <c r="AH55" i="1" s="1"/>
  <c r="AE63" i="1" s="1"/>
  <c r="AJ27" i="1"/>
  <c r="AJ55" i="1" s="1"/>
  <c r="AE27" i="1"/>
  <c r="AE55" i="1" s="1"/>
  <c r="AC63" i="1" s="1"/>
  <c r="AC27" i="1"/>
  <c r="AC55" i="1" s="1"/>
  <c r="AB63" i="1" s="1"/>
  <c r="Y20" i="1"/>
  <c r="Z17" i="1"/>
  <c r="Z31" i="1"/>
  <c r="Y35" i="1"/>
  <c r="Z39" i="1"/>
  <c r="Y44" i="1"/>
  <c r="Y43" i="2" l="1"/>
  <c r="Z41" i="2"/>
  <c r="Y36" i="2"/>
  <c r="Z36" i="2" s="1"/>
  <c r="Y35" i="2"/>
  <c r="Z35" i="2" s="1"/>
  <c r="Y37" i="2"/>
  <c r="Z37" i="2" s="1"/>
  <c r="Y33" i="2"/>
  <c r="Y34" i="2"/>
  <c r="Z34" i="2" s="1"/>
  <c r="Z25" i="2"/>
  <c r="Y29" i="2"/>
  <c r="AA35" i="1"/>
  <c r="AA56" i="1" s="1"/>
  <c r="AA64" i="1" s="1"/>
  <c r="AI35" i="1"/>
  <c r="AI56" i="1" s="1"/>
  <c r="AE35" i="1"/>
  <c r="AE56" i="1" s="1"/>
  <c r="AC64" i="1" s="1"/>
  <c r="AL35" i="1"/>
  <c r="AL56" i="1" s="1"/>
  <c r="AF64" i="1" s="1"/>
  <c r="AH35" i="1"/>
  <c r="AH56" i="1" s="1"/>
  <c r="AE64" i="1" s="1"/>
  <c r="AD35" i="1"/>
  <c r="AD56" i="1" s="1"/>
  <c r="AK35" i="1"/>
  <c r="AK56" i="1" s="1"/>
  <c r="AG35" i="1"/>
  <c r="AG56" i="1" s="1"/>
  <c r="AC35" i="1"/>
  <c r="AC56" i="1" s="1"/>
  <c r="AB64" i="1" s="1"/>
  <c r="AF35" i="1"/>
  <c r="AF56" i="1" s="1"/>
  <c r="AD64" i="1" s="1"/>
  <c r="AB35" i="1"/>
  <c r="AB56" i="1" s="1"/>
  <c r="AJ35" i="1"/>
  <c r="AJ56" i="1" s="1"/>
  <c r="AB44" i="1"/>
  <c r="AB57" i="1" s="1"/>
  <c r="AF44" i="1"/>
  <c r="AF57" i="1" s="1"/>
  <c r="AD65" i="1" s="1"/>
  <c r="AJ44" i="1"/>
  <c r="AJ57" i="1" s="1"/>
  <c r="AC44" i="1"/>
  <c r="AC57" i="1" s="1"/>
  <c r="AB65" i="1" s="1"/>
  <c r="AG44" i="1"/>
  <c r="AG57" i="1" s="1"/>
  <c r="AK44" i="1"/>
  <c r="AK57" i="1" s="1"/>
  <c r="AD44" i="1"/>
  <c r="AD57" i="1" s="1"/>
  <c r="AH44" i="1"/>
  <c r="AH57" i="1" s="1"/>
  <c r="AE65" i="1" s="1"/>
  <c r="AL44" i="1"/>
  <c r="AL57" i="1" s="1"/>
  <c r="AF65" i="1" s="1"/>
  <c r="AA44" i="1"/>
  <c r="AA57" i="1" s="1"/>
  <c r="AA65" i="1" s="1"/>
  <c r="AE44" i="1"/>
  <c r="AE57" i="1" s="1"/>
  <c r="AC65" i="1" s="1"/>
  <c r="AI44" i="1"/>
  <c r="AI57" i="1" s="1"/>
  <c r="AE20" i="1"/>
  <c r="AE54" i="1" s="1"/>
  <c r="AC62" i="1" s="1"/>
  <c r="AI20" i="1"/>
  <c r="AI54" i="1" s="1"/>
  <c r="AA20" i="1"/>
  <c r="AA54" i="1" s="1"/>
  <c r="AA62" i="1" s="1"/>
  <c r="AB20" i="1"/>
  <c r="AB54" i="1" s="1"/>
  <c r="AF20" i="1"/>
  <c r="AF54" i="1" s="1"/>
  <c r="AD62" i="1" s="1"/>
  <c r="AJ20" i="1"/>
  <c r="AJ54" i="1" s="1"/>
  <c r="AC20" i="1"/>
  <c r="AC54" i="1" s="1"/>
  <c r="AB62" i="1" s="1"/>
  <c r="AG20" i="1"/>
  <c r="AG54" i="1" s="1"/>
  <c r="AK20" i="1"/>
  <c r="AK54" i="1" s="1"/>
  <c r="AD20" i="1"/>
  <c r="AD54" i="1" s="1"/>
  <c r="AH20" i="1"/>
  <c r="AH54" i="1" s="1"/>
  <c r="AE62" i="1" s="1"/>
  <c r="AL20" i="1"/>
  <c r="AL54" i="1" s="1"/>
  <c r="AF62" i="1" s="1"/>
  <c r="Z33" i="2" l="1"/>
  <c r="Y38" i="2"/>
  <c r="AD43" i="2"/>
  <c r="AD51" i="2" s="1"/>
  <c r="AK43" i="2"/>
  <c r="AK51" i="2" s="1"/>
  <c r="AL43" i="2"/>
  <c r="AL51" i="2" s="1"/>
  <c r="AF58" i="2" s="1"/>
  <c r="AH43" i="2"/>
  <c r="AH51" i="2" s="1"/>
  <c r="AE58" i="2" s="1"/>
  <c r="AG43" i="2"/>
  <c r="AG51" i="2" s="1"/>
  <c r="AA43" i="2"/>
  <c r="AA51" i="2" s="1"/>
  <c r="AA58" i="2" s="1"/>
  <c r="AB43" i="2"/>
  <c r="AB51" i="2" s="1"/>
  <c r="AC43" i="2"/>
  <c r="AC51" i="2" s="1"/>
  <c r="AB58" i="2" s="1"/>
  <c r="AJ43" i="2"/>
  <c r="AJ51" i="2" s="1"/>
  <c r="AI43" i="2"/>
  <c r="AI51" i="2" s="1"/>
  <c r="AE43" i="2"/>
  <c r="AE51" i="2" s="1"/>
  <c r="AC58" i="2" s="1"/>
  <c r="AF43" i="2"/>
  <c r="AF51" i="2" s="1"/>
  <c r="AD58" i="2" s="1"/>
  <c r="AG29" i="2"/>
  <c r="AG49" i="2" s="1"/>
  <c r="AC29" i="2"/>
  <c r="AC49" i="2" s="1"/>
  <c r="AB56" i="2" s="1"/>
  <c r="AA29" i="2"/>
  <c r="AA49" i="2" s="1"/>
  <c r="AA56" i="2" s="1"/>
  <c r="AB29" i="2"/>
  <c r="AB49" i="2" s="1"/>
  <c r="AK29" i="2"/>
  <c r="AK49" i="2" s="1"/>
  <c r="AI29" i="2"/>
  <c r="AI49" i="2" s="1"/>
  <c r="AD29" i="2"/>
  <c r="AD49" i="2" s="1"/>
  <c r="AJ29" i="2"/>
  <c r="AJ49" i="2" s="1"/>
  <c r="AE29" i="2"/>
  <c r="AE49" i="2" s="1"/>
  <c r="AC56" i="2" s="1"/>
  <c r="AL29" i="2"/>
  <c r="AL49" i="2" s="1"/>
  <c r="AF56" i="2" s="1"/>
  <c r="AH29" i="2"/>
  <c r="AH49" i="2" s="1"/>
  <c r="AE56" i="2" s="1"/>
  <c r="AF29" i="2"/>
  <c r="AF49" i="2" s="1"/>
  <c r="AD56" i="2" s="1"/>
  <c r="AJ38" i="2" l="1"/>
  <c r="AJ50" i="2" s="1"/>
  <c r="AD38" i="2"/>
  <c r="AD50" i="2" s="1"/>
  <c r="AA38" i="2"/>
  <c r="AA50" i="2" s="1"/>
  <c r="AA57" i="2" s="1"/>
  <c r="AI38" i="2"/>
  <c r="AI50" i="2" s="1"/>
  <c r="AB38" i="2"/>
  <c r="AB50" i="2" s="1"/>
  <c r="AG38" i="2"/>
  <c r="AG50" i="2" s="1"/>
  <c r="AH38" i="2"/>
  <c r="AH50" i="2" s="1"/>
  <c r="AE57" i="2" s="1"/>
  <c r="AK38" i="2"/>
  <c r="AK50" i="2" s="1"/>
  <c r="AF38" i="2"/>
  <c r="AF50" i="2" s="1"/>
  <c r="AD57" i="2" s="1"/>
  <c r="AE38" i="2"/>
  <c r="AE50" i="2" s="1"/>
  <c r="AC57" i="2" s="1"/>
  <c r="AC38" i="2"/>
  <c r="AC50" i="2" s="1"/>
  <c r="AB57" i="2" s="1"/>
  <c r="AL38" i="2"/>
  <c r="AL50" i="2" s="1"/>
  <c r="AF57" i="2" s="1"/>
</calcChain>
</file>

<file path=xl/sharedStrings.xml><?xml version="1.0" encoding="utf-8"?>
<sst xmlns="http://schemas.openxmlformats.org/spreadsheetml/2006/main" count="641" uniqueCount="198">
  <si>
    <t>Alpha</t>
  </si>
  <si>
    <t>Olivine</t>
  </si>
  <si>
    <t>Brucite</t>
  </si>
  <si>
    <t>Magnetite</t>
  </si>
  <si>
    <t>Beta</t>
  </si>
  <si>
    <t>Pixel Count</t>
  </si>
  <si>
    <t>Caveties</t>
  </si>
  <si>
    <t>Gamma</t>
  </si>
  <si>
    <t>Chlorite</t>
  </si>
  <si>
    <t>Chl/Srp</t>
  </si>
  <si>
    <t>Srp/Chl</t>
  </si>
  <si>
    <t>Delta</t>
  </si>
  <si>
    <t>Xonotlite</t>
  </si>
  <si>
    <t>Epsilon</t>
  </si>
  <si>
    <t>Plagioclase</t>
  </si>
  <si>
    <t>300°C</t>
  </si>
  <si>
    <t>400°C</t>
  </si>
  <si>
    <t>Alpha*</t>
  </si>
  <si>
    <t>Beta*</t>
  </si>
  <si>
    <t>Gamma*</t>
  </si>
  <si>
    <t>Delta*</t>
  </si>
  <si>
    <t>Diopside</t>
  </si>
  <si>
    <t>Clinopyroxene</t>
  </si>
  <si>
    <t>Andradite</t>
  </si>
  <si>
    <t>O</t>
  </si>
  <si>
    <t>Grossular</t>
  </si>
  <si>
    <t>Vol%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</si>
  <si>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mol</t>
    </r>
    <r>
      <rPr>
        <vertAlign val="superscript"/>
        <sz val="11"/>
        <color theme="1"/>
        <rFont val="Calibri"/>
        <family val="2"/>
        <scheme val="minor"/>
      </rPr>
      <t>-1</t>
    </r>
  </si>
  <si>
    <t>Anorthite</t>
  </si>
  <si>
    <t>Mg-Brucite</t>
  </si>
  <si>
    <t>Fe-Brucite</t>
  </si>
  <si>
    <t>Albite</t>
  </si>
  <si>
    <t>Chrysotile</t>
  </si>
  <si>
    <t>Greenalite</t>
  </si>
  <si>
    <t xml:space="preserve">Clinochlore </t>
  </si>
  <si>
    <t>Daphnite</t>
  </si>
  <si>
    <t>Forsterite</t>
  </si>
  <si>
    <t>Fayalite</t>
  </si>
  <si>
    <t>Olivine Fo90</t>
  </si>
  <si>
    <t>mol</t>
  </si>
  <si>
    <t xml:space="preserve">Si </t>
  </si>
  <si>
    <t xml:space="preserve">Ti </t>
  </si>
  <si>
    <t xml:space="preserve">Al </t>
  </si>
  <si>
    <t xml:space="preserve">Cr </t>
  </si>
  <si>
    <r>
      <t>Fe</t>
    </r>
    <r>
      <rPr>
        <vertAlign val="superscript"/>
        <sz val="12"/>
        <rFont val="Calibri"/>
        <family val="2"/>
        <scheme val="minor"/>
      </rPr>
      <t xml:space="preserve">2+ </t>
    </r>
    <r>
      <rPr>
        <sz val="12"/>
        <rFont val="Calibri"/>
        <family val="2"/>
        <scheme val="minor"/>
      </rPr>
      <t>*</t>
    </r>
  </si>
  <si>
    <t xml:space="preserve">Mg </t>
  </si>
  <si>
    <r>
      <t>Mn</t>
    </r>
    <r>
      <rPr>
        <vertAlign val="superscript"/>
        <sz val="12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 xml:space="preserve"> </t>
    </r>
  </si>
  <si>
    <t xml:space="preserve">Ca </t>
  </si>
  <si>
    <t xml:space="preserve">Na </t>
  </si>
  <si>
    <t xml:space="preserve">K </t>
  </si>
  <si>
    <t>Component</t>
  </si>
  <si>
    <r>
      <t>Fe</t>
    </r>
    <r>
      <rPr>
        <vertAlign val="superscript"/>
        <sz val="12"/>
        <rFont val="Calibri"/>
        <family val="2"/>
        <scheme val="minor"/>
      </rPr>
      <t>2+</t>
    </r>
  </si>
  <si>
    <t>H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</si>
  <si>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</si>
  <si>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Mg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SiO</t>
    </r>
    <r>
      <rPr>
        <vertAlign val="subscript"/>
        <sz val="11"/>
        <color theme="1"/>
        <rFont val="Calibri"/>
        <family val="2"/>
        <scheme val="minor"/>
      </rPr>
      <t>4</t>
    </r>
  </si>
  <si>
    <r>
      <t>CaAl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8</t>
    </r>
  </si>
  <si>
    <r>
      <t>Mg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4</t>
    </r>
  </si>
  <si>
    <r>
      <t>Mg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8</t>
    </r>
  </si>
  <si>
    <r>
      <t>Mg(OH)</t>
    </r>
    <r>
      <rPr>
        <vertAlign val="subscript"/>
        <sz val="11"/>
        <color theme="1"/>
        <rFont val="Calibri"/>
        <family val="2"/>
        <scheme val="minor"/>
      </rPr>
      <t>2</t>
    </r>
  </si>
  <si>
    <r>
      <t>Ca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17</t>
    </r>
    <r>
      <rPr>
        <sz val="11"/>
        <color theme="1"/>
        <rFont val="Calibri"/>
        <family val="2"/>
        <scheme val="minor"/>
      </rPr>
      <t>(OH)</t>
    </r>
    <r>
      <rPr>
        <vertAlign val="subscript"/>
        <sz val="11"/>
        <color theme="1"/>
        <rFont val="Calibri"/>
        <family val="2"/>
        <scheme val="minor"/>
      </rPr>
      <t>2</t>
    </r>
  </si>
  <si>
    <r>
      <t>Fe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</si>
  <si>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r>
      <t>Olivine</t>
    </r>
    <r>
      <rPr>
        <vertAlign val="superscript"/>
        <sz val="11"/>
        <color rgb="FF000000"/>
        <rFont val="Calibri"/>
        <family val="2"/>
        <scheme val="minor"/>
      </rPr>
      <t>1</t>
    </r>
  </si>
  <si>
    <r>
      <t>Plagioclase</t>
    </r>
    <r>
      <rPr>
        <vertAlign val="superscript"/>
        <sz val="11"/>
        <color rgb="FF000000"/>
        <rFont val="Calibri"/>
        <family val="2"/>
        <scheme val="minor"/>
      </rPr>
      <t>2</t>
    </r>
  </si>
  <si>
    <r>
      <t>Serpentine</t>
    </r>
    <r>
      <rPr>
        <vertAlign val="superscript"/>
        <sz val="11"/>
        <color rgb="FF000000"/>
        <rFont val="Calibri"/>
        <family val="2"/>
        <scheme val="minor"/>
      </rPr>
      <t>1</t>
    </r>
  </si>
  <si>
    <r>
      <t>Chlorite</t>
    </r>
    <r>
      <rPr>
        <vertAlign val="superscript"/>
        <sz val="11"/>
        <color rgb="FF000000"/>
        <rFont val="Calibri"/>
        <family val="2"/>
        <scheme val="minor"/>
      </rPr>
      <t>1</t>
    </r>
  </si>
  <si>
    <r>
      <t>Brucite</t>
    </r>
    <r>
      <rPr>
        <vertAlign val="superscript"/>
        <sz val="11"/>
        <color rgb="FF000000"/>
        <rFont val="Calibri"/>
        <family val="2"/>
        <scheme val="minor"/>
      </rPr>
      <t>1</t>
    </r>
  </si>
  <si>
    <r>
      <t>CaMgSi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</si>
  <si>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r>
      <t>Ca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12</t>
    </r>
  </si>
  <si>
    <r>
      <t>Ca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Si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12</t>
    </r>
  </si>
  <si>
    <r>
      <t>Diopside</t>
    </r>
    <r>
      <rPr>
        <vertAlign val="superscript"/>
        <sz val="11"/>
        <color rgb="FF000000"/>
        <rFont val="Calibri"/>
        <family val="2"/>
        <scheme val="minor"/>
      </rPr>
      <t>1</t>
    </r>
  </si>
  <si>
    <r>
      <t>Andradite</t>
    </r>
    <r>
      <rPr>
        <vertAlign val="superscript"/>
        <sz val="11"/>
        <color rgb="FF000000"/>
        <rFont val="Calibri"/>
        <family val="2"/>
        <scheme val="minor"/>
      </rPr>
      <t>3</t>
    </r>
  </si>
  <si>
    <r>
      <t>Grossular</t>
    </r>
    <r>
      <rPr>
        <vertAlign val="superscript"/>
        <sz val="11"/>
        <color rgb="FF000000"/>
        <rFont val="Calibri"/>
        <family val="2"/>
        <scheme val="minor"/>
      </rPr>
      <t>3</t>
    </r>
  </si>
  <si>
    <r>
      <t>g mol</t>
    </r>
    <r>
      <rPr>
        <vertAlign val="superscript"/>
        <sz val="11"/>
        <color theme="1"/>
        <rFont val="Calibri"/>
        <family val="2"/>
        <scheme val="minor"/>
      </rPr>
      <t>-1</t>
    </r>
  </si>
  <si>
    <t>Mg#</t>
  </si>
  <si>
    <t>Fe#</t>
  </si>
  <si>
    <t>Ca#</t>
  </si>
  <si>
    <t>Na#</t>
  </si>
  <si>
    <t>Mg+Fe</t>
  </si>
  <si>
    <t>Ca+Na</t>
  </si>
  <si>
    <t>Fe+Al</t>
  </si>
  <si>
    <t>Al#</t>
  </si>
  <si>
    <t>Σ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</si>
  <si>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mol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</si>
  <si>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Fe</t>
    </r>
    <r>
      <rPr>
        <i/>
        <vertAlign val="superscript"/>
        <sz val="11"/>
        <rFont val="Arial"/>
        <family val="2"/>
      </rPr>
      <t>2+</t>
    </r>
    <r>
      <rPr>
        <i/>
        <sz val="11"/>
        <color theme="1"/>
        <rFont val="Calibri"/>
        <family val="2"/>
        <scheme val="minor"/>
      </rPr>
      <t xml:space="preserve"> </t>
    </r>
  </si>
  <si>
    <r>
      <t>Mn</t>
    </r>
    <r>
      <rPr>
        <i/>
        <vertAlign val="superscript"/>
        <sz val="11"/>
        <rFont val="Arial"/>
        <family val="2"/>
      </rPr>
      <t>2+</t>
    </r>
    <r>
      <rPr>
        <i/>
        <sz val="11"/>
        <color theme="1"/>
        <rFont val="Calibri"/>
        <family val="2"/>
        <scheme val="minor"/>
      </rPr>
      <t xml:space="preserve"> </t>
    </r>
  </si>
  <si>
    <r>
      <t>H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>O</t>
    </r>
  </si>
  <si>
    <r>
      <t>Domain [mol g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]</t>
    </r>
  </si>
  <si>
    <t>Si</t>
  </si>
  <si>
    <t>Al</t>
  </si>
  <si>
    <t>Fe</t>
  </si>
  <si>
    <t>Mg</t>
  </si>
  <si>
    <t>Ca</t>
  </si>
  <si>
    <r>
      <t>mol cm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</si>
  <si>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g cm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</si>
  <si>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g g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</si>
  <si>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mol g</t>
    </r>
    <r>
      <rPr>
        <vertAlign val="superscript"/>
        <sz val="11"/>
        <color theme="1"/>
        <rFont val="Calibri"/>
        <family val="2"/>
        <scheme val="minor"/>
      </rPr>
      <t>-1</t>
    </r>
  </si>
  <si>
    <t>Domain</t>
  </si>
  <si>
    <t>mol:</t>
  </si>
  <si>
    <t>Hedenbergite</t>
  </si>
  <si>
    <r>
      <t>Domain [mol g</t>
    </r>
    <r>
      <rPr>
        <b/>
        <vertAlign val="superscript"/>
        <sz val="11"/>
        <color theme="0" tint="-0.499984740745262"/>
        <rFont val="Calibri"/>
        <family val="2"/>
        <scheme val="minor"/>
      </rPr>
      <t>-1</t>
    </r>
    <r>
      <rPr>
        <b/>
        <sz val="11"/>
        <color theme="0" tint="-0.499984740745262"/>
        <rFont val="Calibri"/>
        <family val="2"/>
        <scheme val="minor"/>
      </rPr>
      <t>]</t>
    </r>
  </si>
  <si>
    <r>
      <t>Fe</t>
    </r>
    <r>
      <rPr>
        <i/>
        <vertAlign val="superscript"/>
        <sz val="11"/>
        <color theme="0" tint="-0.499984740745262"/>
        <rFont val="Arial"/>
        <family val="2"/>
      </rPr>
      <t>2+</t>
    </r>
    <r>
      <rPr>
        <i/>
        <sz val="11"/>
        <color theme="0" tint="-0.499984740745262"/>
        <rFont val="Calibri"/>
        <family val="2"/>
        <scheme val="minor"/>
      </rPr>
      <t xml:space="preserve"> </t>
    </r>
  </si>
  <si>
    <r>
      <t>Mn</t>
    </r>
    <r>
      <rPr>
        <i/>
        <vertAlign val="superscript"/>
        <sz val="11"/>
        <color theme="0" tint="-0.499984740745262"/>
        <rFont val="Arial"/>
        <family val="2"/>
      </rPr>
      <t>2+</t>
    </r>
    <r>
      <rPr>
        <i/>
        <sz val="11"/>
        <color theme="0" tint="-0.499984740745262"/>
        <rFont val="Calibri"/>
        <family val="2"/>
        <scheme val="minor"/>
      </rPr>
      <t xml:space="preserve"> </t>
    </r>
  </si>
  <si>
    <r>
      <t>H</t>
    </r>
    <r>
      <rPr>
        <i/>
        <vertAlign val="subscript"/>
        <sz val="11"/>
        <color theme="0" tint="-0.499984740745262"/>
        <rFont val="Calibri"/>
        <family val="2"/>
        <scheme val="minor"/>
      </rPr>
      <t>2</t>
    </r>
    <r>
      <rPr>
        <i/>
        <sz val="11"/>
        <color theme="0" tint="-0.499984740745262"/>
        <rFont val="Calibri"/>
        <family val="2"/>
        <scheme val="minor"/>
      </rPr>
      <t>O</t>
    </r>
  </si>
  <si>
    <t>Conclusion</t>
  </si>
  <si>
    <t>Almost constant</t>
  </si>
  <si>
    <t>Inward directed mass transfer</t>
  </si>
  <si>
    <t>Outward directed mass transfer</t>
  </si>
  <si>
    <t>Outward directed mass transfer (less than Al)</t>
  </si>
  <si>
    <t>Constant in domain alpha-gamma, decreasing towards delta+epsilon</t>
  </si>
  <si>
    <t>Idealized</t>
  </si>
  <si>
    <t>Specific volume of mineral phases:</t>
  </si>
  <si>
    <r>
      <rPr>
        <b/>
        <sz val="14"/>
        <color theme="1"/>
        <rFont val="Calibri"/>
        <family val="2"/>
      </rPr>
      <t xml:space="preserve">↑ </t>
    </r>
    <r>
      <rPr>
        <b/>
        <sz val="14"/>
        <color theme="1"/>
        <rFont val="Calibri"/>
        <family val="2"/>
        <scheme val="minor"/>
      </rPr>
      <t xml:space="preserve">Dynamic cavety assignment </t>
    </r>
    <r>
      <rPr>
        <b/>
        <sz val="14"/>
        <color theme="1"/>
        <rFont val="Calibri"/>
        <family val="2"/>
      </rPr>
      <t>↑</t>
    </r>
  </si>
  <si>
    <r>
      <rPr>
        <b/>
        <sz val="14"/>
        <color theme="1"/>
        <rFont val="Calibri"/>
        <family val="2"/>
      </rPr>
      <t xml:space="preserve">↓ </t>
    </r>
    <r>
      <rPr>
        <b/>
        <sz val="14"/>
        <color theme="1"/>
        <rFont val="Calibri"/>
        <family val="2"/>
        <scheme val="minor"/>
      </rPr>
      <t xml:space="preserve">No cavety assignment </t>
    </r>
    <r>
      <rPr>
        <b/>
        <sz val="14"/>
        <color theme="1"/>
        <rFont val="Calibri"/>
        <family val="2"/>
      </rPr>
      <t>↓</t>
    </r>
  </si>
  <si>
    <t>Inward directed mass transfer (less than at 300°C)</t>
  </si>
  <si>
    <t>Slightly outward directed mass transfer (less than at 300°C)</t>
  </si>
  <si>
    <t>300°C (EMP analysis)</t>
  </si>
  <si>
    <t>400°C (EMP analysis)</t>
  </si>
  <si>
    <t>Blanc et al. (2010)</t>
  </si>
  <si>
    <t>Ideal mix of Fo, Fa</t>
  </si>
  <si>
    <t xml:space="preserve">[source: supcrt92 [see 92joh/oel]] HDN+78 </t>
  </si>
  <si>
    <t>[source: supcrt92 [see 92joh/oel]] HDN+78,SH88</t>
  </si>
  <si>
    <t>[source: supcrt92 [see 92joh/oel]] HDN+78</t>
  </si>
  <si>
    <t>[source: supcrt92 [see 92joh/oel]] Helgeson et al. 1978</t>
  </si>
  <si>
    <t xml:space="preserve">[source: supcrt92 [see 92joh/oel]] Wol04 </t>
  </si>
  <si>
    <t xml:space="preserve">[source: supcrt92 [see 92joh/oel]] HDN+78  </t>
  </si>
  <si>
    <t>[source: supcrt92 [see 93sac/sey]] HDN+78,Wol04</t>
  </si>
  <si>
    <t xml:space="preserve">[source: supcrt92 [see 92joh/oel]] HDN+78,SH88 </t>
  </si>
  <si>
    <t>Origin (EQ3/6, SUPCRT92)</t>
  </si>
  <si>
    <t>µ-CT scan showed high porosity with cavety shape rather matching the plagioclase reactant</t>
  </si>
  <si>
    <t>µ-CT scan showed variable to low porosity with cavety shape rather matching the plagioclase reactant</t>
  </si>
  <si>
    <t xml:space="preserve">µ-CT scan showed low porosity </t>
  </si>
  <si>
    <t>µ-CT scan showed close to no porosity and caveties in mount surface match shape of the olivine reactant</t>
  </si>
  <si>
    <t>µ-CT scan showed low porosity and caveties in mount surface match shape of the olivine reactant</t>
  </si>
  <si>
    <t>µ-CT scan showed medium to low porosity with cavety shape rather matching the plagioclase reactant (relatively high point count also due to shadow effects)</t>
  </si>
  <si>
    <t>µ-CT scan showed medium porosity with cavety shape rather matching the plagioclase reactant (relatively high point count also due to shadow effects)</t>
  </si>
  <si>
    <t>Ol</t>
  </si>
  <si>
    <t>Brc</t>
  </si>
  <si>
    <t>Mgt</t>
  </si>
  <si>
    <t>Xon</t>
  </si>
  <si>
    <t>Plg</t>
  </si>
  <si>
    <r>
      <t>Chl (</t>
    </r>
    <r>
      <rPr>
        <sz val="11"/>
        <color theme="1"/>
        <rFont val="Calibri"/>
        <family val="2"/>
      </rPr>
      <t>±Srp)</t>
    </r>
  </si>
  <si>
    <t>Cpx</t>
  </si>
  <si>
    <t>Adr</t>
  </si>
  <si>
    <t>Grs</t>
  </si>
  <si>
    <t>Domain [Vol%]</t>
  </si>
  <si>
    <t>g</t>
  </si>
  <si>
    <t>cm3</t>
  </si>
  <si>
    <t>Beginning</t>
  </si>
  <si>
    <r>
      <rPr>
        <b/>
        <sz val="12"/>
        <color theme="1"/>
        <rFont val="Calibri"/>
        <family val="2"/>
        <scheme val="minor"/>
      </rPr>
      <t>Table 1</t>
    </r>
    <r>
      <rPr>
        <sz val="11"/>
        <color theme="1"/>
        <rFont val="Calibri"/>
        <family val="2"/>
        <scheme val="minor"/>
      </rPr>
      <t>: Summary of fluid data and related modelling results. Concentrations of dissolved elements and gases are given in µmol/kg.</t>
    </r>
  </si>
  <si>
    <t>Sample</t>
  </si>
  <si>
    <t>Time    [h]</t>
  </si>
  <si>
    <t>Description</t>
  </si>
  <si>
    <r>
      <t>m</t>
    </r>
    <r>
      <rPr>
        <vertAlign val="subscript"/>
        <sz val="12"/>
        <rFont val="Calibri"/>
        <family val="2"/>
        <scheme val="minor"/>
      </rPr>
      <t>left</t>
    </r>
    <r>
      <rPr>
        <sz val="12"/>
        <rFont val="Calibri"/>
        <family val="2"/>
        <scheme val="minor"/>
      </rPr>
      <t xml:space="preserve">    [g]</t>
    </r>
  </si>
  <si>
    <r>
      <t>m</t>
    </r>
    <r>
      <rPr>
        <vertAlign val="subscript"/>
        <sz val="12"/>
        <rFont val="Calibri"/>
        <family val="2"/>
        <scheme val="minor"/>
      </rPr>
      <t xml:space="preserve">taken </t>
    </r>
    <r>
      <rPr>
        <sz val="12"/>
        <rFont val="Calibri"/>
        <family val="2"/>
        <scheme val="minor"/>
      </rPr>
      <t>[g]</t>
    </r>
  </si>
  <si>
    <r>
      <t>V</t>
    </r>
    <r>
      <rPr>
        <vertAlign val="subscript"/>
        <sz val="12"/>
        <rFont val="Calibri"/>
        <family val="2"/>
        <scheme val="minor"/>
      </rPr>
      <t>left</t>
    </r>
    <r>
      <rPr>
        <sz val="12"/>
        <rFont val="Calibri"/>
        <family val="2"/>
        <scheme val="minor"/>
      </rPr>
      <t xml:space="preserve">   [ml]</t>
    </r>
  </si>
  <si>
    <t>W/R</t>
  </si>
  <si>
    <t>Na</t>
  </si>
  <si>
    <r>
      <t>pH</t>
    </r>
    <r>
      <rPr>
        <vertAlign val="subscript"/>
        <sz val="12"/>
        <color theme="1"/>
        <rFont val="Calibri"/>
        <family val="2"/>
        <scheme val="minor"/>
      </rPr>
      <t>25°C</t>
    </r>
  </si>
  <si>
    <r>
      <t>pH</t>
    </r>
    <r>
      <rPr>
        <vertAlign val="subscript"/>
        <sz val="12"/>
        <color theme="1"/>
        <rFont val="Calibri"/>
        <family val="2"/>
        <scheme val="minor"/>
      </rPr>
      <t>in-situ</t>
    </r>
  </si>
  <si>
    <t>Salinity        [wt.-%]</t>
  </si>
  <si>
    <r>
      <t>H</t>
    </r>
    <r>
      <rPr>
        <vertAlign val="subscript"/>
        <sz val="12"/>
        <color rgb="FF000000"/>
        <rFont val="Calibri"/>
        <family val="2"/>
        <scheme val="minor"/>
      </rPr>
      <t>2</t>
    </r>
  </si>
  <si>
    <r>
      <t>CH</t>
    </r>
    <r>
      <rPr>
        <vertAlign val="subscript"/>
        <sz val="12"/>
        <color rgb="FF000000"/>
        <rFont val="Calibri"/>
        <family val="2"/>
        <scheme val="minor"/>
      </rPr>
      <t>4</t>
    </r>
  </si>
  <si>
    <t>Experimental Run at 300 °C and 40 MPa</t>
  </si>
  <si>
    <t>T1.0</t>
  </si>
  <si>
    <t>Stock solution</t>
  </si>
  <si>
    <t>-</t>
  </si>
  <si>
    <t>T1.1</t>
  </si>
  <si>
    <t>Initial cool</t>
  </si>
  <si>
    <t>5.50*</t>
  </si>
  <si>
    <t>T1.2</t>
  </si>
  <si>
    <t>hot</t>
  </si>
  <si>
    <t>T1.3</t>
  </si>
  <si>
    <t>T1.4</t>
  </si>
  <si>
    <t>T1.5</t>
  </si>
  <si>
    <t>cool</t>
  </si>
  <si>
    <t>Experimental Run at 400 °C and 40 MPa</t>
  </si>
  <si>
    <t>T2.0</t>
  </si>
  <si>
    <t>T2.1</t>
  </si>
  <si>
    <t>6.14*</t>
  </si>
  <si>
    <t>T2.2</t>
  </si>
  <si>
    <t>T2.3</t>
  </si>
  <si>
    <t>T2.4</t>
  </si>
  <si>
    <t>T2.5</t>
  </si>
  <si>
    <t>*Values were modelled analogue to those for samples taken at elevated temperatures for visual comparison.</t>
  </si>
  <si>
    <t>µmol</t>
  </si>
  <si>
    <t>µmol in V</t>
  </si>
  <si>
    <t>µ-CT:</t>
  </si>
  <si>
    <r>
      <t>Domain [mol 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</si>
  <si>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r>
      <t>-H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</si>
  <si>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norm. 1g</t>
  </si>
  <si>
    <t>Anhydrous</t>
  </si>
  <si>
    <t>Constant within error margins</t>
  </si>
  <si>
    <t>Cavities</t>
  </si>
  <si>
    <r>
      <rPr>
        <b/>
        <sz val="14"/>
        <color theme="1"/>
        <rFont val="Calibri"/>
        <family val="2"/>
      </rPr>
      <t xml:space="preserve">↑ </t>
    </r>
    <r>
      <rPr>
        <b/>
        <sz val="14"/>
        <color theme="1"/>
        <rFont val="Calibri"/>
        <family val="2"/>
        <scheme val="minor"/>
      </rPr>
      <t xml:space="preserve">Dynamic cavity assignment </t>
    </r>
    <r>
      <rPr>
        <b/>
        <sz val="14"/>
        <color theme="1"/>
        <rFont val="Calibri"/>
        <family val="2"/>
      </rPr>
      <t>↑</t>
    </r>
  </si>
  <si>
    <r>
      <rPr>
        <b/>
        <sz val="14"/>
        <color theme="1"/>
        <rFont val="Calibri"/>
        <family val="2"/>
      </rPr>
      <t xml:space="preserve">↓ </t>
    </r>
    <r>
      <rPr>
        <b/>
        <sz val="14"/>
        <color theme="1"/>
        <rFont val="Calibri"/>
        <family val="2"/>
        <scheme val="minor"/>
      </rPr>
      <t xml:space="preserve">No cavity assignment </t>
    </r>
    <r>
      <rPr>
        <b/>
        <sz val="14"/>
        <color theme="1"/>
        <rFont val="Calibri"/>
        <family val="2"/>
      </rPr>
      <t>↓</t>
    </r>
  </si>
  <si>
    <t>%Cavities=Olivine</t>
  </si>
  <si>
    <t>American Mineralogist: June 2022 Online Materials AM-22-67832</t>
  </si>
  <si>
    <t>HANSEN ET AL.: EXPERIMENTAL STUDY ON HYDROTHERMAL TROCTOLITE ALTERATION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</si>
</sst>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0.0"/>
    <numFmt numFmtId="166" formatCode="0.0E+00"/>
    <numFmt numFmtId="167" formatCode="0.000"/>
    <numFmt numFmtId="168" formatCode="0.0000"/>
    <numFmt numFmtId="169" formatCode="_-* #,##0.0_-;\-* #,##0.0_-;_-* &quot;-&quot;??_-;_-@_-"/>
  </numFmts>
  <fonts count="3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vertAlign val="superscript"/>
      <sz val="11"/>
      <name val="Arial"/>
      <family val="2"/>
    </font>
    <font>
      <b/>
      <vertAlign val="superscript"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0" tint="-0.499984740745262"/>
      <name val="Calibri"/>
      <family val="2"/>
      <scheme val="minor"/>
    </font>
    <font>
      <b/>
      <vertAlign val="superscript"/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vertAlign val="superscript"/>
      <sz val="11"/>
      <color theme="0" tint="-0.499984740745262"/>
      <name val="Arial"/>
      <family val="2"/>
    </font>
    <font>
      <i/>
      <vertAlign val="subscript"/>
      <sz val="11"/>
      <color theme="0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2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164" fontId="28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11" fontId="0" fillId="0" borderId="0" xfId="0" applyNumberFormat="1" applyAlignment="1">
      <alignment horizontal="right"/>
    </xf>
    <xf numFmtId="0" fontId="0" fillId="0" borderId="0" xfId="0" applyFill="1" applyBorder="1" applyAlignment="1">
      <alignment horizontal="left" vertical="center" shrinkToFit="1"/>
    </xf>
    <xf numFmtId="2" fontId="5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vertical="center" shrinkToFit="1"/>
    </xf>
    <xf numFmtId="2" fontId="5" fillId="0" borderId="0" xfId="0" applyNumberFormat="1" applyFon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0" fillId="0" borderId="0" xfId="0" applyFont="1"/>
    <xf numFmtId="11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2" fontId="8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0" fontId="11" fillId="0" borderId="0" xfId="0" applyFont="1" applyFill="1" applyBorder="1" applyAlignment="1">
      <alignment horizontal="center" vertical="center" shrinkToFit="1"/>
    </xf>
    <xf numFmtId="16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2" fontId="2" fillId="0" borderId="1" xfId="0" applyNumberFormat="1" applyFont="1" applyBorder="1" applyAlignment="1">
      <alignment horizontal="left"/>
    </xf>
    <xf numFmtId="0" fontId="11" fillId="0" borderId="1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/>
    </xf>
    <xf numFmtId="1" fontId="0" fillId="2" borderId="3" xfId="0" applyNumberFormat="1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5" fontId="17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2" fontId="19" fillId="0" borderId="1" xfId="0" applyNumberFormat="1" applyFont="1" applyBorder="1" applyAlignment="1">
      <alignment horizontal="left"/>
    </xf>
    <xf numFmtId="0" fontId="21" fillId="0" borderId="1" xfId="0" applyFont="1" applyFill="1" applyBorder="1" applyAlignment="1">
      <alignment horizontal="center" vertical="center" shrinkToFit="1"/>
    </xf>
    <xf numFmtId="0" fontId="19" fillId="0" borderId="0" xfId="0" applyFont="1" applyAlignment="1">
      <alignment horizontal="left"/>
    </xf>
    <xf numFmtId="2" fontId="17" fillId="0" borderId="0" xfId="0" applyNumberFormat="1" applyFont="1" applyFill="1" applyBorder="1" applyAlignment="1">
      <alignment horizontal="center"/>
    </xf>
    <xf numFmtId="2" fontId="17" fillId="0" borderId="0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/>
    </xf>
    <xf numFmtId="2" fontId="17" fillId="0" borderId="2" xfId="0" applyNumberFormat="1" applyFont="1" applyFill="1" applyBorder="1" applyAlignment="1">
      <alignment horizontal="center" vertical="center"/>
    </xf>
    <xf numFmtId="0" fontId="0" fillId="0" borderId="2" xfId="0" applyBorder="1"/>
    <xf numFmtId="0" fontId="10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11" fontId="0" fillId="0" borderId="2" xfId="0" applyNumberFormat="1" applyBorder="1" applyAlignment="1">
      <alignment horizontal="right"/>
    </xf>
    <xf numFmtId="11" fontId="0" fillId="0" borderId="2" xfId="0" applyNumberFormat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2" fontId="0" fillId="0" borderId="2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Border="1" applyAlignment="1">
      <alignment horizontal="right"/>
    </xf>
    <xf numFmtId="2" fontId="0" fillId="0" borderId="2" xfId="0" applyNumberFormat="1" applyBorder="1" applyAlignment="1">
      <alignment horizontal="center"/>
    </xf>
    <xf numFmtId="0" fontId="0" fillId="0" borderId="5" xfId="0" applyBorder="1" applyAlignment="1">
      <alignment horizontal="right"/>
    </xf>
    <xf numFmtId="2" fontId="0" fillId="0" borderId="5" xfId="0" applyNumberForma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0" fontId="0" fillId="0" borderId="6" xfId="0" applyFont="1" applyFill="1" applyBorder="1" applyAlignment="1">
      <alignment horizontal="center"/>
    </xf>
    <xf numFmtId="0" fontId="0" fillId="0" borderId="7" xfId="0" applyFill="1" applyBorder="1"/>
    <xf numFmtId="0" fontId="8" fillId="0" borderId="7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left" vertical="center" shrinkToFit="1"/>
    </xf>
    <xf numFmtId="2" fontId="0" fillId="0" borderId="2" xfId="0" applyNumberFormat="1" applyFill="1" applyBorder="1" applyAlignment="1">
      <alignment horizontal="center"/>
    </xf>
    <xf numFmtId="0" fontId="0" fillId="0" borderId="5" xfId="0" applyBorder="1"/>
    <xf numFmtId="0" fontId="24" fillId="0" borderId="0" xfId="0" applyFont="1" applyAlignment="1">
      <alignment horizontal="left"/>
    </xf>
    <xf numFmtId="0" fontId="2" fillId="0" borderId="0" xfId="0" applyFont="1" applyBorder="1"/>
    <xf numFmtId="0" fontId="0" fillId="0" borderId="1" xfId="0" applyFont="1" applyBorder="1"/>
    <xf numFmtId="0" fontId="15" fillId="0" borderId="0" xfId="0" applyFont="1" applyAlignment="1">
      <alignment horizontal="right"/>
    </xf>
    <xf numFmtId="0" fontId="0" fillId="0" borderId="0" xfId="0" applyFill="1" applyBorder="1" applyAlignment="1">
      <alignment horizontal="right"/>
    </xf>
    <xf numFmtId="2" fontId="0" fillId="0" borderId="5" xfId="0" applyNumberFormat="1" applyFill="1" applyBorder="1" applyAlignment="1">
      <alignment horizontal="center"/>
    </xf>
    <xf numFmtId="2" fontId="8" fillId="0" borderId="5" xfId="0" applyNumberFormat="1" applyFont="1" applyFill="1" applyBorder="1" applyAlignment="1">
      <alignment horizontal="center"/>
    </xf>
    <xf numFmtId="0" fontId="0" fillId="0" borderId="6" xfId="0" applyFill="1" applyBorder="1" applyAlignment="1">
      <alignment horizontal="right"/>
    </xf>
    <xf numFmtId="0" fontId="0" fillId="0" borderId="7" xfId="0" applyFill="1" applyBorder="1" applyAlignment="1">
      <alignment horizontal="left"/>
    </xf>
    <xf numFmtId="0" fontId="0" fillId="0" borderId="2" xfId="0" applyBorder="1" applyAlignment="1">
      <alignment horizontal="left"/>
    </xf>
    <xf numFmtId="0" fontId="5" fillId="0" borderId="7" xfId="0" applyFont="1" applyFill="1" applyBorder="1" applyAlignment="1">
      <alignment horizontal="left" vertical="center"/>
    </xf>
    <xf numFmtId="0" fontId="10" fillId="0" borderId="2" xfId="0" applyFont="1" applyBorder="1"/>
    <xf numFmtId="165" fontId="0" fillId="0" borderId="0" xfId="0" applyNumberFormat="1" applyAlignment="1">
      <alignment horizontal="left"/>
    </xf>
    <xf numFmtId="11" fontId="0" fillId="0" borderId="0" xfId="0" applyNumberFormat="1" applyAlignment="1">
      <alignment horizontal="left"/>
    </xf>
    <xf numFmtId="167" fontId="0" fillId="0" borderId="0" xfId="0" applyNumberFormat="1" applyAlignment="1">
      <alignment horizontal="center"/>
    </xf>
    <xf numFmtId="167" fontId="0" fillId="0" borderId="2" xfId="0" applyNumberFormat="1" applyBorder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24" fillId="3" borderId="0" xfId="0" applyFont="1" applyFill="1" applyAlignment="1">
      <alignment horizontal="center"/>
    </xf>
    <xf numFmtId="0" fontId="25" fillId="3" borderId="0" xfId="0" applyFont="1" applyFill="1" applyAlignment="1">
      <alignment horizontal="left"/>
    </xf>
    <xf numFmtId="0" fontId="2" fillId="3" borderId="0" xfId="0" applyFont="1" applyFill="1"/>
    <xf numFmtId="0" fontId="2" fillId="3" borderId="0" xfId="0" applyFont="1" applyFill="1" applyAlignment="1">
      <alignment horizontal="left"/>
    </xf>
    <xf numFmtId="165" fontId="0" fillId="0" borderId="0" xfId="0" applyNumberFormat="1" applyFont="1" applyFill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165" fontId="0" fillId="0" borderId="2" xfId="0" applyNumberFormat="1" applyFont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165" fontId="0" fillId="3" borderId="0" xfId="0" applyNumberFormat="1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168" fontId="0" fillId="0" borderId="0" xfId="0" applyNumberFormat="1" applyAlignment="1">
      <alignment horizontal="center"/>
    </xf>
    <xf numFmtId="0" fontId="10" fillId="0" borderId="0" xfId="0" applyFont="1" applyBorder="1" applyAlignment="1">
      <alignment horizontal="left"/>
    </xf>
    <xf numFmtId="11" fontId="0" fillId="0" borderId="0" xfId="0" applyNumberFormat="1" applyBorder="1" applyAlignment="1">
      <alignment horizontal="right"/>
    </xf>
    <xf numFmtId="11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0" fillId="0" borderId="0" xfId="0" applyFont="1" applyBorder="1"/>
    <xf numFmtId="165" fontId="2" fillId="0" borderId="0" xfId="0" applyNumberFormat="1" applyFont="1" applyFill="1" applyBorder="1" applyAlignment="1">
      <alignment horizontal="center"/>
    </xf>
    <xf numFmtId="168" fontId="16" fillId="0" borderId="0" xfId="0" applyNumberFormat="1" applyFont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17" fillId="0" borderId="5" xfId="0" applyNumberFormat="1" applyFont="1" applyFill="1" applyBorder="1" applyAlignment="1">
      <alignment horizontal="left" vertical="center"/>
    </xf>
    <xf numFmtId="2" fontId="17" fillId="0" borderId="5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165" fontId="0" fillId="0" borderId="2" xfId="0" applyNumberFormat="1" applyBorder="1" applyAlignment="1">
      <alignment horizontal="center"/>
    </xf>
    <xf numFmtId="11" fontId="2" fillId="0" borderId="2" xfId="0" applyNumberFormat="1" applyFont="1" applyBorder="1" applyAlignment="1">
      <alignment horizontal="center"/>
    </xf>
    <xf numFmtId="2" fontId="2" fillId="0" borderId="5" xfId="0" applyNumberFormat="1" applyFont="1" applyFill="1" applyBorder="1" applyAlignment="1">
      <alignment horizontal="left" vertical="center"/>
    </xf>
    <xf numFmtId="165" fontId="0" fillId="0" borderId="5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1" fontId="2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2" fontId="16" fillId="0" borderId="0" xfId="0" applyNumberFormat="1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167" fontId="16" fillId="0" borderId="0" xfId="0" applyNumberFormat="1" applyFont="1" applyAlignment="1">
      <alignment horizontal="center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165" fontId="0" fillId="3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167" fontId="5" fillId="5" borderId="0" xfId="0" applyNumberFormat="1" applyFont="1" applyFill="1" applyAlignment="1">
      <alignment horizontal="center"/>
    </xf>
    <xf numFmtId="167" fontId="0" fillId="3" borderId="0" xfId="0" applyNumberFormat="1" applyFill="1" applyAlignment="1">
      <alignment horizontal="center"/>
    </xf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1" fontId="0" fillId="3" borderId="2" xfId="0" applyNumberFormat="1" applyFill="1" applyBorder="1" applyAlignment="1">
      <alignment horizontal="center"/>
    </xf>
    <xf numFmtId="165" fontId="0" fillId="3" borderId="2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11" fontId="0" fillId="0" borderId="0" xfId="0" applyNumberFormat="1"/>
    <xf numFmtId="0" fontId="0" fillId="3" borderId="0" xfId="0" applyFill="1" applyBorder="1"/>
    <xf numFmtId="169" fontId="0" fillId="0" borderId="0" xfId="1" applyNumberFormat="1" applyFont="1" applyAlignment="1">
      <alignment horizontal="center"/>
    </xf>
    <xf numFmtId="165" fontId="0" fillId="0" borderId="0" xfId="1" applyNumberFormat="1" applyFont="1" applyAlignment="1">
      <alignment horizontal="center"/>
    </xf>
    <xf numFmtId="0" fontId="0" fillId="3" borderId="0" xfId="0" applyFill="1" applyAlignment="1">
      <alignment horizontal="center"/>
    </xf>
    <xf numFmtId="166" fontId="0" fillId="0" borderId="0" xfId="0" applyNumberFormat="1" applyFont="1" applyFill="1" applyBorder="1" applyAlignment="1">
      <alignment horizontal="center"/>
    </xf>
    <xf numFmtId="166" fontId="0" fillId="0" borderId="2" xfId="0" applyNumberFormat="1" applyFont="1" applyFill="1" applyBorder="1" applyAlignment="1">
      <alignment horizontal="center"/>
    </xf>
    <xf numFmtId="166" fontId="0" fillId="0" borderId="5" xfId="0" applyNumberFormat="1" applyFont="1" applyFill="1" applyBorder="1" applyAlignment="1">
      <alignment horizontal="center"/>
    </xf>
    <xf numFmtId="165" fontId="11" fillId="0" borderId="0" xfId="0" applyNumberFormat="1" applyFont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quotePrefix="1" applyAlignment="1">
      <alignment horizontal="center"/>
    </xf>
    <xf numFmtId="2" fontId="1" fillId="0" borderId="0" xfId="0" applyNumberFormat="1" applyFont="1" applyAlignment="1">
      <alignment horizontal="center"/>
    </xf>
    <xf numFmtId="11" fontId="2" fillId="0" borderId="0" xfId="0" applyNumberFormat="1" applyFont="1" applyAlignment="1">
      <alignment horizontal="center"/>
    </xf>
    <xf numFmtId="166" fontId="33" fillId="0" borderId="0" xfId="0" applyNumberFormat="1" applyFont="1" applyAlignment="1">
      <alignment horizontal="center"/>
    </xf>
    <xf numFmtId="0" fontId="27" fillId="3" borderId="0" xfId="0" applyFont="1" applyFill="1" applyAlignment="1">
      <alignment vertical="center"/>
    </xf>
    <xf numFmtId="0" fontId="27" fillId="3" borderId="0" xfId="0" applyFont="1" applyFill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0" xfId="0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339933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'300'!$J$61</c:f>
              <c:strCache>
                <c:ptCount val="1"/>
                <c:pt idx="0">
                  <c:v>Alpha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'300'!$K$68:$R$68</c:f>
              <c:strCache>
                <c:ptCount val="8"/>
                <c:pt idx="0">
                  <c:v>Ol</c:v>
                </c:pt>
                <c:pt idx="1">
                  <c:v>Brc</c:v>
                </c:pt>
                <c:pt idx="2">
                  <c:v>Srp/Chl</c:v>
                </c:pt>
                <c:pt idx="3">
                  <c:v>Mgt</c:v>
                </c:pt>
                <c:pt idx="4">
                  <c:v>Chl/Srp</c:v>
                </c:pt>
                <c:pt idx="5">
                  <c:v>Xon</c:v>
                </c:pt>
                <c:pt idx="6">
                  <c:v>Plg</c:v>
                </c:pt>
                <c:pt idx="7">
                  <c:v>Cavities</c:v>
                </c:pt>
              </c:strCache>
            </c:strRef>
          </c:cat>
          <c:val>
            <c:numRef>
              <c:f>'300'!$K$69:$R$69</c:f>
              <c:numCache>
                <c:formatCode>0.0</c:formatCode>
                <c:ptCount val="8"/>
                <c:pt idx="0">
                  <c:v>34.362356914993427</c:v>
                </c:pt>
                <c:pt idx="1">
                  <c:v>6.7179583411521859</c:v>
                </c:pt>
                <c:pt idx="2">
                  <c:v>53.230437230249585</c:v>
                </c:pt>
                <c:pt idx="3">
                  <c:v>3.689247513604804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2.0000000000000071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8F-4DEB-B8F7-53B4841DEF8C}"/>
            </c:ext>
          </c:extLst>
        </c:ser>
        <c:ser>
          <c:idx val="1"/>
          <c:order val="1"/>
          <c:tx>
            <c:strRef>
              <c:f>'300'!$J$62</c:f>
              <c:strCache>
                <c:ptCount val="1"/>
                <c:pt idx="0">
                  <c:v>Beta</c:v>
                </c:pt>
              </c:strCache>
            </c:strRef>
          </c:tx>
          <c:spPr>
            <a:solidFill>
              <a:srgbClr val="CC0099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'300'!$K$68:$R$68</c:f>
              <c:strCache>
                <c:ptCount val="8"/>
                <c:pt idx="0">
                  <c:v>Ol</c:v>
                </c:pt>
                <c:pt idx="1">
                  <c:v>Brc</c:v>
                </c:pt>
                <c:pt idx="2">
                  <c:v>Srp/Chl</c:v>
                </c:pt>
                <c:pt idx="3">
                  <c:v>Mgt</c:v>
                </c:pt>
                <c:pt idx="4">
                  <c:v>Chl/Srp</c:v>
                </c:pt>
                <c:pt idx="5">
                  <c:v>Xon</c:v>
                </c:pt>
                <c:pt idx="6">
                  <c:v>Plg</c:v>
                </c:pt>
                <c:pt idx="7">
                  <c:v>Cavities</c:v>
                </c:pt>
              </c:strCache>
            </c:strRef>
          </c:cat>
          <c:val>
            <c:numRef>
              <c:f>'300'!$K$70:$R$70</c:f>
              <c:numCache>
                <c:formatCode>0.0</c:formatCode>
                <c:ptCount val="8"/>
                <c:pt idx="0">
                  <c:v>28.599291935184382</c:v>
                </c:pt>
                <c:pt idx="1">
                  <c:v>0</c:v>
                </c:pt>
                <c:pt idx="2">
                  <c:v>64.059470138599266</c:v>
                </c:pt>
                <c:pt idx="3">
                  <c:v>3.3412379262163587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3.9999999999999858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8F-4DEB-B8F7-53B4841DEF8C}"/>
            </c:ext>
          </c:extLst>
        </c:ser>
        <c:ser>
          <c:idx val="2"/>
          <c:order val="2"/>
          <c:tx>
            <c:strRef>
              <c:f>'300'!$J$63</c:f>
              <c:strCache>
                <c:ptCount val="1"/>
                <c:pt idx="0">
                  <c:v>Gamma</c:v>
                </c:pt>
              </c:strCache>
            </c:strRef>
          </c:tx>
          <c:spPr>
            <a:solidFill>
              <a:srgbClr val="33993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'300'!$K$68:$R$68</c:f>
              <c:strCache>
                <c:ptCount val="8"/>
                <c:pt idx="0">
                  <c:v>Ol</c:v>
                </c:pt>
                <c:pt idx="1">
                  <c:v>Brc</c:v>
                </c:pt>
                <c:pt idx="2">
                  <c:v>Srp/Chl</c:v>
                </c:pt>
                <c:pt idx="3">
                  <c:v>Mgt</c:v>
                </c:pt>
                <c:pt idx="4">
                  <c:v>Chl/Srp</c:v>
                </c:pt>
                <c:pt idx="5">
                  <c:v>Xon</c:v>
                </c:pt>
                <c:pt idx="6">
                  <c:v>Plg</c:v>
                </c:pt>
                <c:pt idx="7">
                  <c:v>Cavities</c:v>
                </c:pt>
              </c:strCache>
            </c:strRef>
          </c:cat>
          <c:val>
            <c:numRef>
              <c:f>'300'!$K$71:$R$71</c:f>
              <c:numCache>
                <c:formatCode>0.0</c:formatCode>
                <c:ptCount val="8"/>
                <c:pt idx="0">
                  <c:v>51.570220387635516</c:v>
                </c:pt>
                <c:pt idx="1">
                  <c:v>0</c:v>
                </c:pt>
                <c:pt idx="2">
                  <c:v>0</c:v>
                </c:pt>
                <c:pt idx="3">
                  <c:v>0.30157995872179916</c:v>
                </c:pt>
                <c:pt idx="4">
                  <c:v>32.128199653642682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8F-4DEB-B8F7-53B4841DEF8C}"/>
            </c:ext>
          </c:extLst>
        </c:ser>
        <c:ser>
          <c:idx val="3"/>
          <c:order val="3"/>
          <c:tx>
            <c:strRef>
              <c:f>'300'!$J$64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'300'!$K$68:$R$68</c:f>
              <c:strCache>
                <c:ptCount val="8"/>
                <c:pt idx="0">
                  <c:v>Ol</c:v>
                </c:pt>
                <c:pt idx="1">
                  <c:v>Brc</c:v>
                </c:pt>
                <c:pt idx="2">
                  <c:v>Srp/Chl</c:v>
                </c:pt>
                <c:pt idx="3">
                  <c:v>Mgt</c:v>
                </c:pt>
                <c:pt idx="4">
                  <c:v>Chl/Srp</c:v>
                </c:pt>
                <c:pt idx="5">
                  <c:v>Xon</c:v>
                </c:pt>
                <c:pt idx="6">
                  <c:v>Plg</c:v>
                </c:pt>
                <c:pt idx="7">
                  <c:v>Cavities</c:v>
                </c:pt>
              </c:strCache>
            </c:strRef>
          </c:cat>
          <c:val>
            <c:numRef>
              <c:f>'300'!$K$72:$R$72</c:f>
              <c:numCache>
                <c:formatCode>0.0</c:formatCode>
                <c:ptCount val="8"/>
                <c:pt idx="0">
                  <c:v>8.9026996950338866</c:v>
                </c:pt>
                <c:pt idx="1">
                  <c:v>0</c:v>
                </c:pt>
                <c:pt idx="2">
                  <c:v>0</c:v>
                </c:pt>
                <c:pt idx="3">
                  <c:v>6.6891869293287401E-2</c:v>
                </c:pt>
                <c:pt idx="4">
                  <c:v>59.018696277467477</c:v>
                </c:pt>
                <c:pt idx="5">
                  <c:v>22.641377486021121</c:v>
                </c:pt>
                <c:pt idx="6">
                  <c:v>0</c:v>
                </c:pt>
                <c:pt idx="7">
                  <c:v>9.3703346721842333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8F-4DEB-B8F7-53B4841DEF8C}"/>
            </c:ext>
          </c:extLst>
        </c:ser>
        <c:ser>
          <c:idx val="4"/>
          <c:order val="4"/>
          <c:tx>
            <c:strRef>
              <c:f>'300'!$J$65</c:f>
              <c:strCache>
                <c:ptCount val="1"/>
                <c:pt idx="0">
                  <c:v>Epsilon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'300'!$K$68:$R$68</c:f>
              <c:strCache>
                <c:ptCount val="8"/>
                <c:pt idx="0">
                  <c:v>Ol</c:v>
                </c:pt>
                <c:pt idx="1">
                  <c:v>Brc</c:v>
                </c:pt>
                <c:pt idx="2">
                  <c:v>Srp/Chl</c:v>
                </c:pt>
                <c:pt idx="3">
                  <c:v>Mgt</c:v>
                </c:pt>
                <c:pt idx="4">
                  <c:v>Chl/Srp</c:v>
                </c:pt>
                <c:pt idx="5">
                  <c:v>Xon</c:v>
                </c:pt>
                <c:pt idx="6">
                  <c:v>Plg</c:v>
                </c:pt>
                <c:pt idx="7">
                  <c:v>Cavities</c:v>
                </c:pt>
              </c:strCache>
            </c:strRef>
          </c:cat>
          <c:val>
            <c:numRef>
              <c:f>'300'!$K$73:$R$73</c:f>
              <c:numCache>
                <c:formatCode>0.0</c:formatCode>
                <c:ptCount val="8"/>
                <c:pt idx="0">
                  <c:v>3.7284473056318372</c:v>
                </c:pt>
                <c:pt idx="1">
                  <c:v>0</c:v>
                </c:pt>
                <c:pt idx="2">
                  <c:v>0</c:v>
                </c:pt>
                <c:pt idx="3">
                  <c:v>1.8907846756403907E-2</c:v>
                </c:pt>
                <c:pt idx="4">
                  <c:v>49.266645657948047</c:v>
                </c:pt>
                <c:pt idx="5">
                  <c:v>18.177043473041312</c:v>
                </c:pt>
                <c:pt idx="6">
                  <c:v>15.823166614144871</c:v>
                </c:pt>
                <c:pt idx="7">
                  <c:v>12.985789102477527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8F-4DEB-B8F7-53B4841DEF8C}"/>
            </c:ext>
          </c:extLst>
        </c:ser>
        <c:ser>
          <c:idx val="5"/>
          <c:order val="5"/>
          <c:tx>
            <c:strRef>
              <c:f>'300'!$J$74</c:f>
              <c:strCache>
                <c:ptCount val="1"/>
                <c:pt idx="0">
                  <c:v>Beginning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'300'!$K$74:$R$74</c:f>
              <c:numCache>
                <c:formatCode>0.0</c:formatCode>
                <c:ptCount val="8"/>
                <c:pt idx="0">
                  <c:v>57.243947676337314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19.67912924673962</c:v>
                </c:pt>
                <c:pt idx="7">
                  <c:v>23.076923076923077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8F-4DEB-B8F7-53B4841DE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4527384"/>
        <c:axId val="644524104"/>
      </c:barChart>
      <c:catAx>
        <c:axId val="644527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4104"/>
        <c:crosses val="autoZero"/>
        <c:auto val="1"/>
        <c:lblAlgn val="ctr"/>
        <c:lblOffset val="100"/>
        <c:noMultiLvlLbl val="0"/>
      </c:catAx>
      <c:valAx>
        <c:axId val="6445241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/>
                  <a:t>Volume percentage [%]</a:t>
                </a:r>
              </a:p>
            </c:rich>
          </c:tx>
          <c:layout>
            <c:manualLayout>
              <c:xMode val="edge"/>
              <c:yMode val="edge"/>
              <c:x val="1.3093289689034371E-2"/>
              <c:y val="0.15685275295644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384"/>
        <c:crosses val="autoZero"/>
        <c:crossBetween val="between"/>
        <c:majorUnit val="5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733537808592257"/>
          <c:y val="0.91035512695744503"/>
          <c:w val="0.78266459305339553"/>
          <c:h val="7.0411601775584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'300'!$J$61</c:f>
              <c:strCache>
                <c:ptCount val="1"/>
                <c:pt idx="0">
                  <c:v>Alpha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'300'!$K$61:$P$61</c:f>
              <c:numCache>
                <c:formatCode>0.00</c:formatCode>
                <c:ptCount val="6"/>
                <c:pt idx="0">
                  <c:v>6.1433357261053514</c:v>
                </c:pt>
                <c:pt idx="1">
                  <c:v>2.0225514195113453E-2</c:v>
                </c:pt>
                <c:pt idx="2">
                  <c:v>1.5621287190407975</c:v>
                </c:pt>
                <c:pt idx="3">
                  <c:v>10.729925459074929</c:v>
                </c:pt>
                <c:pt idx="4">
                  <c:v>6.5499883533107432E-3</c:v>
                </c:pt>
                <c:pt idx="5">
                  <c:v>4.3595308118493739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F-450D-B953-2A67A0F05B97}"/>
            </c:ext>
          </c:extLst>
        </c:ser>
        <c:ser>
          <c:idx val="1"/>
          <c:order val="1"/>
          <c:tx>
            <c:strRef>
              <c:f>'300'!$J$62</c:f>
              <c:strCache>
                <c:ptCount val="1"/>
                <c:pt idx="0">
                  <c:v>Beta</c:v>
                </c:pt>
              </c:strCache>
            </c:strRef>
          </c:tx>
          <c:spPr>
            <a:solidFill>
              <a:srgbClr val="CC0099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'300'!$K$62:$P$62</c:f>
              <c:numCache>
                <c:formatCode>0.00</c:formatCode>
                <c:ptCount val="6"/>
                <c:pt idx="0">
                  <c:v>6.6027337948993372</c:v>
                </c:pt>
                <c:pt idx="1">
                  <c:v>2.2446803992461597E-2</c:v>
                </c:pt>
                <c:pt idx="2">
                  <c:v>1.409402843403827</c:v>
                </c:pt>
                <c:pt idx="3">
                  <c:v>10.375423223633616</c:v>
                </c:pt>
                <c:pt idx="4">
                  <c:v>6.1526309061011577E-3</c:v>
                </c:pt>
                <c:pt idx="5">
                  <c:v>4.2496544382900785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5F-450D-B953-2A67A0F05B97}"/>
            </c:ext>
          </c:extLst>
        </c:ser>
        <c:ser>
          <c:idx val="2"/>
          <c:order val="2"/>
          <c:tx>
            <c:strRef>
              <c:f>'300'!$J$63</c:f>
              <c:strCache>
                <c:ptCount val="1"/>
                <c:pt idx="0">
                  <c:v>Gamma</c:v>
                </c:pt>
              </c:strCache>
            </c:strRef>
          </c:tx>
          <c:spPr>
            <a:solidFill>
              <a:srgbClr val="339933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'300'!$K$63:$P$63</c:f>
              <c:numCache>
                <c:formatCode>0.00</c:formatCode>
                <c:ptCount val="6"/>
                <c:pt idx="0">
                  <c:v>6.4625754663624368</c:v>
                </c:pt>
                <c:pt idx="1">
                  <c:v>0.89914901970278349</c:v>
                </c:pt>
                <c:pt idx="2">
                  <c:v>1.1508050360569559</c:v>
                </c:pt>
                <c:pt idx="3">
                  <c:v>10.83354026196475</c:v>
                </c:pt>
                <c:pt idx="4">
                  <c:v>2.7640096715285833E-2</c:v>
                </c:pt>
                <c:pt idx="5">
                  <c:v>2.3697364720565912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5F-450D-B953-2A67A0F05B97}"/>
            </c:ext>
          </c:extLst>
        </c:ser>
        <c:ser>
          <c:idx val="3"/>
          <c:order val="3"/>
          <c:tx>
            <c:strRef>
              <c:f>'300'!$J$64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'300'!$K$64:$P$64</c:f>
              <c:numCache>
                <c:formatCode>0.00</c:formatCode>
                <c:ptCount val="6"/>
                <c:pt idx="0">
                  <c:v>6.4757088129342817</c:v>
                </c:pt>
                <c:pt idx="1">
                  <c:v>1.8217235401739555</c:v>
                </c:pt>
                <c:pt idx="2">
                  <c:v>0.67578812163177526</c:v>
                </c:pt>
                <c:pt idx="3">
                  <c:v>6.5040871132119227</c:v>
                </c:pt>
                <c:pt idx="4">
                  <c:v>2.1208856035955792</c:v>
                </c:pt>
                <c:pt idx="5">
                  <c:v>4.8032691641290999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5F-450D-B953-2A67A0F05B97}"/>
            </c:ext>
          </c:extLst>
        </c:ser>
        <c:ser>
          <c:idx val="4"/>
          <c:order val="4"/>
          <c:tx>
            <c:strRef>
              <c:f>'300'!$J$65</c:f>
              <c:strCache>
                <c:ptCount val="1"/>
                <c:pt idx="0">
                  <c:v>Epsilon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'300'!$K$65:$P$65</c:f>
              <c:numCache>
                <c:formatCode>0.00</c:formatCode>
                <c:ptCount val="6"/>
                <c:pt idx="0">
                  <c:v>6.5541645485859963</c:v>
                </c:pt>
                <c:pt idx="1">
                  <c:v>2.9356137803952307</c:v>
                </c:pt>
                <c:pt idx="2">
                  <c:v>0.53569039162597853</c:v>
                </c:pt>
                <c:pt idx="3">
                  <c:v>5.0921015655146125</c:v>
                </c:pt>
                <c:pt idx="4">
                  <c:v>2.399258117969588</c:v>
                </c:pt>
                <c:pt idx="5">
                  <c:v>4.2123768152972474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5F-450D-B953-2A67A0F05B97}"/>
            </c:ext>
          </c:extLst>
        </c:ser>
        <c:ser>
          <c:idx val="5"/>
          <c:order val="5"/>
          <c:tx>
            <c:strRef>
              <c:f>'300'!$J$66</c:f>
              <c:strCache>
                <c:ptCount val="1"/>
                <c:pt idx="0">
                  <c:v>Beginning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'300'!$K$66:$P$66</c:f>
              <c:numCache>
                <c:formatCode>0.00</c:formatCode>
                <c:ptCount val="6"/>
                <c:pt idx="0">
                  <c:v>6.8639275519122513</c:v>
                </c:pt>
                <c:pt idx="1">
                  <c:v>1.6473712759012709</c:v>
                </c:pt>
                <c:pt idx="2">
                  <c:v>0.9784763700963599</c:v>
                </c:pt>
                <c:pt idx="3">
                  <c:v>9.6410351116546877</c:v>
                </c:pt>
                <c:pt idx="4">
                  <c:v>0.75323678599428934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35F-450D-B953-2A67A0F05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4527384"/>
        <c:axId val="644524104"/>
      </c:barChart>
      <c:catAx>
        <c:axId val="644527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4104"/>
        <c:crosses val="autoZero"/>
        <c:auto val="1"/>
        <c:lblAlgn val="ctr"/>
        <c:lblOffset val="100"/>
        <c:noMultiLvlLbl val="0"/>
      </c:catAx>
      <c:valAx>
        <c:axId val="644524104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/>
                  <a:t>Elemental abundance [mol g</a:t>
                </a:r>
                <a:r>
                  <a:rPr lang="en-GB" sz="1400" b="1" baseline="30000"/>
                  <a:t>-1</a:t>
                </a:r>
                <a:r>
                  <a:rPr lang="en-GB" sz="1400" b="1"/>
                  <a:t>]</a:t>
                </a:r>
              </a:p>
            </c:rich>
          </c:tx>
          <c:layout>
            <c:manualLayout>
              <c:xMode val="edge"/>
              <c:yMode val="edge"/>
              <c:x val="1.3093289689034371E-2"/>
              <c:y val="0.15685275295644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384"/>
        <c:crosses val="autoZero"/>
        <c:crossBetween val="between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733537808592257"/>
          <c:y val="0.91035512695744503"/>
          <c:w val="0.78266459411020228"/>
          <c:h val="7.0901705732259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'300'!$J$61</c:f>
              <c:strCache>
                <c:ptCount val="1"/>
                <c:pt idx="0">
                  <c:v>Alpha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'300'!$AA$60:$AE$60</c:f>
              <c:strCache>
                <c:ptCount val="5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</c:strCache>
            </c:strRef>
          </c:cat>
          <c:val>
            <c:numRef>
              <c:f>'300'!$AA$61:$AE$61</c:f>
              <c:numCache>
                <c:formatCode>0.00</c:formatCode>
                <c:ptCount val="5"/>
                <c:pt idx="0">
                  <c:v>6.6669365743326781</c:v>
                </c:pt>
                <c:pt idx="1">
                  <c:v>2.1949349072539072E-2</c:v>
                </c:pt>
                <c:pt idx="2">
                  <c:v>1.6952700544319803</c:v>
                </c:pt>
                <c:pt idx="3">
                  <c:v>11.644444593673708</c:v>
                </c:pt>
                <c:pt idx="4">
                  <c:v>7.1082484925212757E-3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5C-42FD-B421-2ED20FE7FE16}"/>
            </c:ext>
          </c:extLst>
        </c:ser>
        <c:ser>
          <c:idx val="1"/>
          <c:order val="1"/>
          <c:tx>
            <c:strRef>
              <c:f>'300'!$J$62</c:f>
              <c:strCache>
                <c:ptCount val="1"/>
                <c:pt idx="0">
                  <c:v>Beta</c:v>
                </c:pt>
              </c:strCache>
            </c:strRef>
          </c:tx>
          <c:spPr>
            <a:solidFill>
              <a:srgbClr val="CC0099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'300'!$AA$60:$AE$60</c:f>
              <c:strCache>
                <c:ptCount val="5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</c:strCache>
            </c:strRef>
          </c:cat>
          <c:val>
            <c:numRef>
              <c:f>'300'!$AA$62:$AE$62</c:f>
              <c:numCache>
                <c:formatCode>0.00</c:formatCode>
                <c:ptCount val="5"/>
                <c:pt idx="0">
                  <c:v>7.1501300530882972</c:v>
                </c:pt>
                <c:pt idx="1">
                  <c:v>2.4307744762672043E-2</c:v>
                </c:pt>
                <c:pt idx="2">
                  <c:v>1.5262486631393017</c:v>
                </c:pt>
                <c:pt idx="3">
                  <c:v>11.235592363593689</c:v>
                </c:pt>
                <c:pt idx="4">
                  <c:v>6.6627116151885485E-3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5C-42FD-B421-2ED20FE7FE16}"/>
            </c:ext>
          </c:extLst>
        </c:ser>
        <c:ser>
          <c:idx val="2"/>
          <c:order val="2"/>
          <c:tx>
            <c:strRef>
              <c:f>'300'!$J$63</c:f>
              <c:strCache>
                <c:ptCount val="1"/>
                <c:pt idx="0">
                  <c:v>Gamma</c:v>
                </c:pt>
              </c:strCache>
            </c:strRef>
          </c:tx>
          <c:spPr>
            <a:solidFill>
              <a:srgbClr val="33993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'300'!$AA$60:$AE$60</c:f>
              <c:strCache>
                <c:ptCount val="5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</c:strCache>
            </c:strRef>
          </c:cat>
          <c:val>
            <c:numRef>
              <c:f>'300'!$AA$63:$AE$63</c:f>
              <c:numCache>
                <c:formatCode>0.00</c:formatCode>
                <c:ptCount val="5"/>
                <c:pt idx="0">
                  <c:v>6.750771311439471</c:v>
                </c:pt>
                <c:pt idx="1">
                  <c:v>0.93924619348933358</c:v>
                </c:pt>
                <c:pt idx="2">
                  <c:v>1.2021247044479264</c:v>
                </c:pt>
                <c:pt idx="3">
                  <c:v>11.316657450649647</c:v>
                </c:pt>
                <c:pt idx="4">
                  <c:v>2.8872695246991091E-2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5C-42FD-B421-2ED20FE7FE16}"/>
            </c:ext>
          </c:extLst>
        </c:ser>
        <c:ser>
          <c:idx val="3"/>
          <c:order val="3"/>
          <c:tx>
            <c:strRef>
              <c:f>'300'!$J$64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'300'!$AA$60:$AE$60</c:f>
              <c:strCache>
                <c:ptCount val="5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</c:strCache>
            </c:strRef>
          </c:cat>
          <c:val>
            <c:numRef>
              <c:f>'300'!$AA$64:$AE$64</c:f>
              <c:numCache>
                <c:formatCode>0.00</c:formatCode>
                <c:ptCount val="5"/>
                <c:pt idx="0">
                  <c:v>7.0891382864961914</c:v>
                </c:pt>
                <c:pt idx="1">
                  <c:v>1.9942913539076754</c:v>
                </c:pt>
                <c:pt idx="2">
                  <c:v>0.73980402532157252</c:v>
                </c:pt>
                <c:pt idx="3">
                  <c:v>7.1202047999567863</c:v>
                </c:pt>
                <c:pt idx="4">
                  <c:v>2.321792373322483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5C-42FD-B421-2ED20FE7FE16}"/>
            </c:ext>
          </c:extLst>
        </c:ser>
        <c:ser>
          <c:idx val="4"/>
          <c:order val="4"/>
          <c:tx>
            <c:strRef>
              <c:f>'300'!$J$65</c:f>
              <c:strCache>
                <c:ptCount val="1"/>
                <c:pt idx="0">
                  <c:v>Epsilon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'300'!$AA$60:$AE$60</c:f>
              <c:strCache>
                <c:ptCount val="5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</c:strCache>
            </c:strRef>
          </c:cat>
          <c:val>
            <c:numRef>
              <c:f>'300'!$AA$65:$AE$65</c:f>
              <c:numCache>
                <c:formatCode>0.00</c:formatCode>
                <c:ptCount val="5"/>
                <c:pt idx="0">
                  <c:v>7.0923763993979874</c:v>
                </c:pt>
                <c:pt idx="1">
                  <c:v>3.1766791540676946</c:v>
                </c:pt>
                <c:pt idx="2">
                  <c:v>0.57967996726173499</c:v>
                </c:pt>
                <c:pt idx="3">
                  <c:v>5.5102524049971997</c:v>
                </c:pt>
                <c:pt idx="4">
                  <c:v>2.5962792856066885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5C-42FD-B421-2ED20FE7FE16}"/>
            </c:ext>
          </c:extLst>
        </c:ser>
        <c:ser>
          <c:idx val="5"/>
          <c:order val="5"/>
          <c:tx>
            <c:strRef>
              <c:f>'300'!$J$66</c:f>
              <c:strCache>
                <c:ptCount val="1"/>
                <c:pt idx="0">
                  <c:v>Beginning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'300'!$AA$60:$AE$60</c:f>
              <c:strCache>
                <c:ptCount val="5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</c:strCache>
            </c:strRef>
          </c:cat>
          <c:val>
            <c:numRef>
              <c:f>'300'!$AA$66:$AE$66</c:f>
              <c:numCache>
                <c:formatCode>0.00</c:formatCode>
                <c:ptCount val="5"/>
                <c:pt idx="0">
                  <c:v>6.8639275519122513</c:v>
                </c:pt>
                <c:pt idx="1">
                  <c:v>1.6473712759012709</c:v>
                </c:pt>
                <c:pt idx="2">
                  <c:v>0.9784763700963599</c:v>
                </c:pt>
                <c:pt idx="3">
                  <c:v>9.6410351116546877</c:v>
                </c:pt>
                <c:pt idx="4">
                  <c:v>0.75323678599428934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F5C-42FD-B421-2ED20FE7F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4527384"/>
        <c:axId val="644524104"/>
      </c:barChart>
      <c:catAx>
        <c:axId val="644527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4104"/>
        <c:crosses val="autoZero"/>
        <c:auto val="1"/>
        <c:lblAlgn val="ctr"/>
        <c:lblOffset val="100"/>
        <c:noMultiLvlLbl val="0"/>
      </c:catAx>
      <c:valAx>
        <c:axId val="644524104"/>
        <c:scaling>
          <c:orientation val="minMax"/>
          <c:max val="1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/>
                  <a:t>Elemental abundance [mol g</a:t>
                </a:r>
                <a:r>
                  <a:rPr lang="en-GB" sz="1400" b="1" baseline="30000"/>
                  <a:t>-1</a:t>
                </a:r>
                <a:r>
                  <a:rPr lang="en-GB" sz="1400" b="1"/>
                  <a:t>]</a:t>
                </a:r>
              </a:p>
            </c:rich>
          </c:tx>
          <c:layout>
            <c:manualLayout>
              <c:xMode val="edge"/>
              <c:yMode val="edge"/>
              <c:x val="1.3093289689034371E-2"/>
              <c:y val="0.15685275295644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384"/>
        <c:crosses val="autoZero"/>
        <c:crossBetween val="between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733537808592257"/>
          <c:y val="0.91035512695744503"/>
          <c:w val="0.78266459411020228"/>
          <c:h val="7.0901705732259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'400'!$J$54</c:f>
              <c:strCache>
                <c:ptCount val="1"/>
                <c:pt idx="0">
                  <c:v>Alpha*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'400'!$K$54:$P$54</c:f>
              <c:numCache>
                <c:formatCode>0.00</c:formatCode>
                <c:ptCount val="6"/>
                <c:pt idx="0">
                  <c:v>6.9252038136269292</c:v>
                </c:pt>
                <c:pt idx="1">
                  <c:v>0.88972701089486705</c:v>
                </c:pt>
                <c:pt idx="2">
                  <c:v>0.98201779122570554</c:v>
                </c:pt>
                <c:pt idx="3">
                  <c:v>9.3870777878536735</c:v>
                </c:pt>
                <c:pt idx="4">
                  <c:v>0.85616801657252006</c:v>
                </c:pt>
                <c:pt idx="5">
                  <c:v>2.1968478591636194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A7-4B26-9E98-B2372317BA6B}"/>
            </c:ext>
          </c:extLst>
        </c:ser>
        <c:ser>
          <c:idx val="1"/>
          <c:order val="1"/>
          <c:tx>
            <c:strRef>
              <c:f>'400'!$J$55</c:f>
              <c:strCache>
                <c:ptCount val="1"/>
                <c:pt idx="0">
                  <c:v>Beta*</c:v>
                </c:pt>
              </c:strCache>
            </c:strRef>
          </c:tx>
          <c:spPr>
            <a:solidFill>
              <a:srgbClr val="339933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'400'!$K$55:$P$55</c:f>
              <c:numCache>
                <c:formatCode>0.00</c:formatCode>
                <c:ptCount val="6"/>
                <c:pt idx="0">
                  <c:v>6.8444376977195853</c:v>
                </c:pt>
                <c:pt idx="1">
                  <c:v>1.2851913430771376</c:v>
                </c:pt>
                <c:pt idx="2">
                  <c:v>0.9117347994068643</c:v>
                </c:pt>
                <c:pt idx="3">
                  <c:v>8.3820383797349063</c:v>
                </c:pt>
                <c:pt idx="4">
                  <c:v>1.0664074449122483</c:v>
                </c:pt>
                <c:pt idx="5">
                  <c:v>3.2075016620903742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A7-4B26-9E98-B2372317BA6B}"/>
            </c:ext>
          </c:extLst>
        </c:ser>
        <c:ser>
          <c:idx val="2"/>
          <c:order val="2"/>
          <c:tx>
            <c:strRef>
              <c:f>'400'!$J$56</c:f>
              <c:strCache>
                <c:ptCount val="1"/>
                <c:pt idx="0">
                  <c:v>Gamma*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'400'!$K$56:$P$56</c:f>
              <c:numCache>
                <c:formatCode>0.00</c:formatCode>
                <c:ptCount val="6"/>
                <c:pt idx="0">
                  <c:v>6.603190944876502</c:v>
                </c:pt>
                <c:pt idx="1">
                  <c:v>1.6031636227567743</c:v>
                </c:pt>
                <c:pt idx="2">
                  <c:v>0.72005539907127247</c:v>
                </c:pt>
                <c:pt idx="3">
                  <c:v>7.0652831082188223</c:v>
                </c:pt>
                <c:pt idx="4">
                  <c:v>1.842837076831217</c:v>
                </c:pt>
                <c:pt idx="5">
                  <c:v>4.4255737021310759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A7-4B26-9E98-B2372317BA6B}"/>
            </c:ext>
          </c:extLst>
        </c:ser>
        <c:ser>
          <c:idx val="3"/>
          <c:order val="3"/>
          <c:tx>
            <c:strRef>
              <c:f>'400'!$J$57</c:f>
              <c:strCache>
                <c:ptCount val="1"/>
                <c:pt idx="0">
                  <c:v>Delta*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'400'!$K$57:$P$57</c:f>
              <c:numCache>
                <c:formatCode>0.00</c:formatCode>
                <c:ptCount val="6"/>
                <c:pt idx="0">
                  <c:v>6.5456515925378094</c:v>
                </c:pt>
                <c:pt idx="1">
                  <c:v>2.1199186920377331</c:v>
                </c:pt>
                <c:pt idx="2">
                  <c:v>0.72215110200581467</c:v>
                </c:pt>
                <c:pt idx="3">
                  <c:v>7.0163045478577128</c:v>
                </c:pt>
                <c:pt idx="4">
                  <c:v>1.5561864441465569</c:v>
                </c:pt>
                <c:pt idx="5">
                  <c:v>4.126557832588917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A7-4B26-9E98-B2372317BA6B}"/>
            </c:ext>
          </c:extLst>
        </c:ser>
        <c:ser>
          <c:idx val="4"/>
          <c:order val="4"/>
          <c:tx>
            <c:strRef>
              <c:f>'400'!$J$58</c:f>
              <c:strCache>
                <c:ptCount val="1"/>
                <c:pt idx="0">
                  <c:v>Beginning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'400'!$K$58:$P$58</c:f>
              <c:numCache>
                <c:formatCode>0.00</c:formatCode>
                <c:ptCount val="6"/>
                <c:pt idx="0">
                  <c:v>6.8664373089734614</c:v>
                </c:pt>
                <c:pt idx="1">
                  <c:v>1.6481672931758136</c:v>
                </c:pt>
                <c:pt idx="2">
                  <c:v>0.97880300377721241</c:v>
                </c:pt>
                <c:pt idx="3">
                  <c:v>9.6442259414023361</c:v>
                </c:pt>
                <c:pt idx="4">
                  <c:v>0.75359943623209735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5B-45AB-A9C4-A02BC369C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4527384"/>
        <c:axId val="644524104"/>
      </c:barChart>
      <c:catAx>
        <c:axId val="644527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4104"/>
        <c:crosses val="autoZero"/>
        <c:auto val="1"/>
        <c:lblAlgn val="ctr"/>
        <c:lblOffset val="100"/>
        <c:noMultiLvlLbl val="0"/>
      </c:catAx>
      <c:valAx>
        <c:axId val="644524104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/>
                  <a:t>Elemental abundance [mol g</a:t>
                </a:r>
                <a:r>
                  <a:rPr lang="en-GB" sz="1400" b="1" baseline="30000"/>
                  <a:t>-1</a:t>
                </a:r>
                <a:r>
                  <a:rPr lang="en-GB" sz="1400" b="1"/>
                  <a:t>]</a:t>
                </a:r>
              </a:p>
            </c:rich>
          </c:tx>
          <c:layout>
            <c:manualLayout>
              <c:xMode val="edge"/>
              <c:yMode val="edge"/>
              <c:x val="1.3093289689034371E-2"/>
              <c:y val="0.15685275295644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384"/>
        <c:crosses val="autoZero"/>
        <c:crossBetween val="between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733537808592257"/>
          <c:y val="0.91035512695744503"/>
          <c:w val="0.78266465852842215"/>
          <c:h val="7.19026709896557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'400'!$J$61</c:f>
              <c:strCache>
                <c:ptCount val="1"/>
                <c:pt idx="0">
                  <c:v>Alpha*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'400'!$K$60:$R$60</c:f>
              <c:strCache>
                <c:ptCount val="8"/>
                <c:pt idx="0">
                  <c:v>Ol</c:v>
                </c:pt>
                <c:pt idx="1">
                  <c:v>Chl (±Srp)</c:v>
                </c:pt>
                <c:pt idx="2">
                  <c:v>Cpx</c:v>
                </c:pt>
                <c:pt idx="3">
                  <c:v>Adr</c:v>
                </c:pt>
                <c:pt idx="4">
                  <c:v>Xon</c:v>
                </c:pt>
                <c:pt idx="5">
                  <c:v>Grs</c:v>
                </c:pt>
                <c:pt idx="6">
                  <c:v>Plg</c:v>
                </c:pt>
                <c:pt idx="7">
                  <c:v>Cavities</c:v>
                </c:pt>
              </c:strCache>
            </c:strRef>
          </c:cat>
          <c:val>
            <c:numRef>
              <c:f>'400'!$K$61:$R$61</c:f>
              <c:numCache>
                <c:formatCode>0.0</c:formatCode>
                <c:ptCount val="8"/>
                <c:pt idx="0">
                  <c:v>40.916766239870434</c:v>
                </c:pt>
                <c:pt idx="1">
                  <c:v>30.919603368311371</c:v>
                </c:pt>
                <c:pt idx="2">
                  <c:v>15.032816685259956</c:v>
                </c:pt>
                <c:pt idx="3">
                  <c:v>0.1308137065582404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12.999999999999993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77-4F8B-AE5C-6345905E73C3}"/>
            </c:ext>
          </c:extLst>
        </c:ser>
        <c:ser>
          <c:idx val="1"/>
          <c:order val="1"/>
          <c:tx>
            <c:strRef>
              <c:f>'400'!$J$62</c:f>
              <c:strCache>
                <c:ptCount val="1"/>
                <c:pt idx="0">
                  <c:v>Beta*</c:v>
                </c:pt>
              </c:strCache>
            </c:strRef>
          </c:tx>
          <c:spPr>
            <a:solidFill>
              <a:srgbClr val="33993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'400'!$K$60:$R$60</c:f>
              <c:strCache>
                <c:ptCount val="8"/>
                <c:pt idx="0">
                  <c:v>Ol</c:v>
                </c:pt>
                <c:pt idx="1">
                  <c:v>Chl (±Srp)</c:v>
                </c:pt>
                <c:pt idx="2">
                  <c:v>Cpx</c:v>
                </c:pt>
                <c:pt idx="3">
                  <c:v>Adr</c:v>
                </c:pt>
                <c:pt idx="4">
                  <c:v>Xon</c:v>
                </c:pt>
                <c:pt idx="5">
                  <c:v>Grs</c:v>
                </c:pt>
                <c:pt idx="6">
                  <c:v>Plg</c:v>
                </c:pt>
                <c:pt idx="7">
                  <c:v>Cavities</c:v>
                </c:pt>
              </c:strCache>
            </c:strRef>
          </c:cat>
          <c:val>
            <c:numRef>
              <c:f>'400'!$K$62:$R$62</c:f>
              <c:numCache>
                <c:formatCode>0.0</c:formatCode>
                <c:ptCount val="8"/>
                <c:pt idx="0">
                  <c:v>25.667994541586502</c:v>
                </c:pt>
                <c:pt idx="1">
                  <c:v>44.926528963212213</c:v>
                </c:pt>
                <c:pt idx="2">
                  <c:v>17.403637247174029</c:v>
                </c:pt>
                <c:pt idx="3">
                  <c:v>1.0018392480272582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77-4F8B-AE5C-6345905E73C3}"/>
            </c:ext>
          </c:extLst>
        </c:ser>
        <c:ser>
          <c:idx val="2"/>
          <c:order val="2"/>
          <c:tx>
            <c:strRef>
              <c:f>'400'!$J$63</c:f>
              <c:strCache>
                <c:ptCount val="1"/>
                <c:pt idx="0">
                  <c:v>Gamma*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'400'!$K$60:$R$60</c:f>
              <c:strCache>
                <c:ptCount val="8"/>
                <c:pt idx="0">
                  <c:v>Ol</c:v>
                </c:pt>
                <c:pt idx="1">
                  <c:v>Chl (±Srp)</c:v>
                </c:pt>
                <c:pt idx="2">
                  <c:v>Cpx</c:v>
                </c:pt>
                <c:pt idx="3">
                  <c:v>Adr</c:v>
                </c:pt>
                <c:pt idx="4">
                  <c:v>Xon</c:v>
                </c:pt>
                <c:pt idx="5">
                  <c:v>Grs</c:v>
                </c:pt>
                <c:pt idx="6">
                  <c:v>Plg</c:v>
                </c:pt>
                <c:pt idx="7">
                  <c:v>Cavities</c:v>
                </c:pt>
              </c:strCache>
            </c:strRef>
          </c:cat>
          <c:val>
            <c:numRef>
              <c:f>'400'!$K$63:$R$63</c:f>
              <c:numCache>
                <c:formatCode>0.0</c:formatCode>
                <c:ptCount val="8"/>
                <c:pt idx="0">
                  <c:v>13.761162600770025</c:v>
                </c:pt>
                <c:pt idx="1">
                  <c:v>52.475534902779877</c:v>
                </c:pt>
                <c:pt idx="2">
                  <c:v>0</c:v>
                </c:pt>
                <c:pt idx="3">
                  <c:v>0</c:v>
                </c:pt>
                <c:pt idx="4">
                  <c:v>18.870066786371826</c:v>
                </c:pt>
                <c:pt idx="5">
                  <c:v>0.89323571007828262</c:v>
                </c:pt>
                <c:pt idx="6">
                  <c:v>0</c:v>
                </c:pt>
                <c:pt idx="7">
                  <c:v>13.999999999999993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77-4F8B-AE5C-6345905E73C3}"/>
            </c:ext>
          </c:extLst>
        </c:ser>
        <c:ser>
          <c:idx val="3"/>
          <c:order val="3"/>
          <c:tx>
            <c:strRef>
              <c:f>'400'!$J$64</c:f>
              <c:strCache>
                <c:ptCount val="1"/>
                <c:pt idx="0">
                  <c:v>Delta*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'400'!$K$60:$R$60</c:f>
              <c:strCache>
                <c:ptCount val="8"/>
                <c:pt idx="0">
                  <c:v>Ol</c:v>
                </c:pt>
                <c:pt idx="1">
                  <c:v>Chl (±Srp)</c:v>
                </c:pt>
                <c:pt idx="2">
                  <c:v>Cpx</c:v>
                </c:pt>
                <c:pt idx="3">
                  <c:v>Adr</c:v>
                </c:pt>
                <c:pt idx="4">
                  <c:v>Xon</c:v>
                </c:pt>
                <c:pt idx="5">
                  <c:v>Grs</c:v>
                </c:pt>
                <c:pt idx="6">
                  <c:v>Plg</c:v>
                </c:pt>
                <c:pt idx="7">
                  <c:v>Cavities</c:v>
                </c:pt>
              </c:strCache>
            </c:strRef>
          </c:cat>
          <c:val>
            <c:numRef>
              <c:f>'400'!$K$64:$R$64</c:f>
              <c:numCache>
                <c:formatCode>0.0</c:formatCode>
                <c:ptCount val="8"/>
                <c:pt idx="0">
                  <c:v>15.579758509799165</c:v>
                </c:pt>
                <c:pt idx="1">
                  <c:v>52.648504338328983</c:v>
                </c:pt>
                <c:pt idx="2">
                  <c:v>0</c:v>
                </c:pt>
                <c:pt idx="3">
                  <c:v>0</c:v>
                </c:pt>
                <c:pt idx="4">
                  <c:v>12.65184151447121</c:v>
                </c:pt>
                <c:pt idx="5">
                  <c:v>1.804805533644803</c:v>
                </c:pt>
                <c:pt idx="6">
                  <c:v>7.3150901037558409</c:v>
                </c:pt>
                <c:pt idx="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77-4F8B-AE5C-6345905E73C3}"/>
            </c:ext>
          </c:extLst>
        </c:ser>
        <c:ser>
          <c:idx val="4"/>
          <c:order val="4"/>
          <c:tx>
            <c:strRef>
              <c:f>'400'!$J$65</c:f>
              <c:strCache>
                <c:ptCount val="1"/>
                <c:pt idx="0">
                  <c:v>Beginning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'400'!$K$65:$R$65</c:f>
              <c:numCache>
                <c:formatCode>0.0</c:formatCode>
                <c:ptCount val="8"/>
                <c:pt idx="0">
                  <c:v>57.243947676337314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19.67912924673962</c:v>
                </c:pt>
                <c:pt idx="7">
                  <c:v>23.076923076923077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FB-4B30-955E-4FABF8CE5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4527384"/>
        <c:axId val="644524104"/>
      </c:barChart>
      <c:catAx>
        <c:axId val="644527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4104"/>
        <c:crosses val="autoZero"/>
        <c:auto val="1"/>
        <c:lblAlgn val="ctr"/>
        <c:lblOffset val="100"/>
        <c:noMultiLvlLbl val="0"/>
      </c:catAx>
      <c:valAx>
        <c:axId val="6445241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/>
                  <a:t>Volume percentage [%]</a:t>
                </a:r>
              </a:p>
            </c:rich>
          </c:tx>
          <c:layout>
            <c:manualLayout>
              <c:xMode val="edge"/>
              <c:yMode val="edge"/>
              <c:x val="1.3093289689034371E-2"/>
              <c:y val="0.15685275295644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384"/>
        <c:crosses val="autoZero"/>
        <c:crossBetween val="between"/>
        <c:majorUnit val="5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733537808592257"/>
          <c:y val="0.91035512695744503"/>
          <c:w val="0.74074849951547028"/>
          <c:h val="7.0411601775584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'400'!$J$54</c:f>
              <c:strCache>
                <c:ptCount val="1"/>
                <c:pt idx="0">
                  <c:v>Alpha*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'400'!$AA$54:$AE$54</c:f>
              <c:numCache>
                <c:formatCode>0.00</c:formatCode>
                <c:ptCount val="5"/>
                <c:pt idx="0">
                  <c:v>7.2105709124380821</c:v>
                </c:pt>
                <c:pt idx="1">
                  <c:v>0.92639002077385157</c:v>
                </c:pt>
                <c:pt idx="2">
                  <c:v>1.0224838302918176</c:v>
                </c:pt>
                <c:pt idx="3">
                  <c:v>9.7738914076006225</c:v>
                </c:pt>
                <c:pt idx="4">
                  <c:v>0.89144815988085691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E-407C-8B83-B5A3A31E4996}"/>
            </c:ext>
          </c:extLst>
        </c:ser>
        <c:ser>
          <c:idx val="1"/>
          <c:order val="1"/>
          <c:tx>
            <c:strRef>
              <c:f>'400'!$J$55</c:f>
              <c:strCache>
                <c:ptCount val="1"/>
                <c:pt idx="0">
                  <c:v>Beta*</c:v>
                </c:pt>
              </c:strCache>
            </c:strRef>
          </c:tx>
          <c:spPr>
            <a:solidFill>
              <a:srgbClr val="33993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'400'!$AA$55:$AE$55</c:f>
              <c:numCache>
                <c:formatCode>0.00</c:formatCode>
                <c:ptCount val="5"/>
                <c:pt idx="0">
                  <c:v>7.2641851425400947</c:v>
                </c:pt>
                <c:pt idx="1">
                  <c:v>1.3640080123473977</c:v>
                </c:pt>
                <c:pt idx="2">
                  <c:v>0.96764857484125488</c:v>
                </c:pt>
                <c:pt idx="3">
                  <c:v>8.8960819502466819</c:v>
                </c:pt>
                <c:pt idx="4">
                  <c:v>1.1318067983592994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2E-407C-8B83-B5A3A31E4996}"/>
            </c:ext>
          </c:extLst>
        </c:ser>
        <c:ser>
          <c:idx val="2"/>
          <c:order val="2"/>
          <c:tx>
            <c:strRef>
              <c:f>'400'!$J$56</c:f>
              <c:strCache>
                <c:ptCount val="1"/>
                <c:pt idx="0">
                  <c:v>Gamma*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'400'!$AA$56:$AE$56</c:f>
              <c:numCache>
                <c:formatCode>0.00</c:formatCode>
                <c:ptCount val="5"/>
                <c:pt idx="0">
                  <c:v>7.1752500245079176</c:v>
                </c:pt>
                <c:pt idx="1">
                  <c:v>1.742051671609034</c:v>
                </c:pt>
                <c:pt idx="2">
                  <c:v>0.78243648608132688</c:v>
                </c:pt>
                <c:pt idx="3">
                  <c:v>7.6773749568362089</c:v>
                </c:pt>
                <c:pt idx="4">
                  <c:v>2.0024889316516035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2E-407C-8B83-B5A3A31E4996}"/>
            </c:ext>
          </c:extLst>
        </c:ser>
        <c:ser>
          <c:idx val="3"/>
          <c:order val="3"/>
          <c:tx>
            <c:strRef>
              <c:f>'400'!$J$57</c:f>
              <c:strCache>
                <c:ptCount val="1"/>
                <c:pt idx="0">
                  <c:v>Delta*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'300'!$K$60:$P$60</c:f>
              <c:strCache>
                <c:ptCount val="6"/>
                <c:pt idx="0">
                  <c:v>Si </c:v>
                </c:pt>
                <c:pt idx="1">
                  <c:v>Al </c:v>
                </c:pt>
                <c:pt idx="2">
                  <c:v>Fe2+ </c:v>
                </c:pt>
                <c:pt idx="3">
                  <c:v>Mg </c:v>
                </c:pt>
                <c:pt idx="4">
                  <c:v>Ca </c:v>
                </c:pt>
                <c:pt idx="5">
                  <c:v>H2O</c:v>
                </c:pt>
              </c:strCache>
            </c:strRef>
          </c:cat>
          <c:val>
            <c:numRef>
              <c:f>'400'!$AA$57:$AE$57</c:f>
              <c:numCache>
                <c:formatCode>0.00</c:formatCode>
                <c:ptCount val="5"/>
                <c:pt idx="0">
                  <c:v>7.0713341439516757</c:v>
                </c:pt>
                <c:pt idx="1">
                  <c:v>2.2901697741593043</c:v>
                </c:pt>
                <c:pt idx="2">
                  <c:v>0.78014719734360072</c:v>
                </c:pt>
                <c:pt idx="3">
                  <c:v>7.5797853295753592</c:v>
                </c:pt>
                <c:pt idx="4">
                  <c:v>1.6811640798898408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2E-407C-8B83-B5A3A31E4996}"/>
            </c:ext>
          </c:extLst>
        </c:ser>
        <c:ser>
          <c:idx val="4"/>
          <c:order val="4"/>
          <c:tx>
            <c:strRef>
              <c:f>'400'!$J$58</c:f>
              <c:strCache>
                <c:ptCount val="1"/>
                <c:pt idx="0">
                  <c:v>Beginning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'400'!$AA$58:$AE$58</c:f>
              <c:numCache>
                <c:formatCode>0.00</c:formatCode>
                <c:ptCount val="5"/>
                <c:pt idx="0">
                  <c:v>6.8974814063964152</c:v>
                </c:pt>
                <c:pt idx="1">
                  <c:v>1.6481672931758136</c:v>
                </c:pt>
                <c:pt idx="2">
                  <c:v>0.97880300377721241</c:v>
                </c:pt>
                <c:pt idx="3">
                  <c:v>9.6442259414023361</c:v>
                </c:pt>
                <c:pt idx="4">
                  <c:v>0.75359943623209735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2E-407C-8B83-B5A3A31E4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4527384"/>
        <c:axId val="644524104"/>
      </c:barChart>
      <c:catAx>
        <c:axId val="644527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4104"/>
        <c:crosses val="autoZero"/>
        <c:auto val="1"/>
        <c:lblAlgn val="ctr"/>
        <c:lblOffset val="100"/>
        <c:noMultiLvlLbl val="0"/>
      </c:catAx>
      <c:valAx>
        <c:axId val="644524104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/>
                  <a:t>Elemental abundance [mol g</a:t>
                </a:r>
                <a:r>
                  <a:rPr lang="en-GB" sz="1400" b="1" baseline="30000"/>
                  <a:t>-1</a:t>
                </a:r>
                <a:r>
                  <a:rPr lang="en-GB" sz="1400" b="1"/>
                  <a:t>]</a:t>
                </a:r>
              </a:p>
            </c:rich>
          </c:tx>
          <c:layout>
            <c:manualLayout>
              <c:xMode val="edge"/>
              <c:yMode val="edge"/>
              <c:x val="1.3093289689034371E-2"/>
              <c:y val="0.15685275295644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384"/>
        <c:crosses val="autoZero"/>
        <c:crossBetween val="between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1733537808592257"/>
          <c:y val="0.91035512695744503"/>
          <c:w val="0.78266465852842215"/>
          <c:h val="7.19026709896557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581024</xdr:colOff>
      <xdr:row>75</xdr:row>
      <xdr:rowOff>0</xdr:rowOff>
    </xdr:from>
    <xdr:to>
      <xdr:col>17</xdr:col>
      <xdr:colOff>133349</xdr:colOff>
      <xdr:row>96</xdr:row>
      <xdr:rowOff>123825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AB589137-4EC4-46E6-8843-FFB1E3610C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51</xdr:row>
      <xdr:rowOff>38100</xdr:rowOff>
    </xdr:from>
    <xdr:to>
      <xdr:col>7</xdr:col>
      <xdr:colOff>457200</xdr:colOff>
      <xdr:row>72</xdr:row>
      <xdr:rowOff>9525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AC0CD6C-CAAE-4943-9278-2774B4F648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83</xdr:row>
      <xdr:rowOff>180975</xdr:rowOff>
    </xdr:from>
    <xdr:to>
      <xdr:col>7</xdr:col>
      <xdr:colOff>608845</xdr:colOff>
      <xdr:row>104</xdr:row>
      <xdr:rowOff>141241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A504A087-4D29-449E-AF29-9FA05E95B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7200" y="16230600"/>
          <a:ext cx="6038095" cy="4095238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67</xdr:row>
      <xdr:rowOff>0</xdr:rowOff>
    </xdr:from>
    <xdr:to>
      <xdr:col>33</xdr:col>
      <xdr:colOff>476250</xdr:colOff>
      <xdr:row>88</xdr:row>
      <xdr:rowOff>104775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65D31AC-68E5-49F9-BBCA-A8446B36BC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24</xdr:col>
      <xdr:colOff>455747</xdr:colOff>
      <xdr:row>101</xdr:row>
      <xdr:rowOff>4</xdr:rowOff>
    </xdr:from>
    <xdr:to>
      <xdr:col>34</xdr:col>
      <xdr:colOff>97160</xdr:colOff>
      <xdr:row>122</xdr:row>
      <xdr:rowOff>145682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54DA9C5-995F-4B92-8A14-F0CDE06D3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071394" y="19666328"/>
          <a:ext cx="6140825" cy="4146177"/>
        </a:xfrm>
        <a:prstGeom prst="rect">
          <a:avLst/>
        </a:prstGeom>
      </xdr:spPr>
    </xdr:pic>
    <xdr:clientData/>
  </xdr:twoCellAnchor>
  <xdr:twoCellAnchor editAs="oneCell">
    <xdr:from>
      <xdr:col>8</xdr:col>
      <xdr:colOff>566970</xdr:colOff>
      <xdr:row>100</xdr:row>
      <xdr:rowOff>19979</xdr:rowOff>
    </xdr:from>
    <xdr:to>
      <xdr:col>17</xdr:col>
      <xdr:colOff>165652</xdr:colOff>
      <xdr:row>122</xdr:row>
      <xdr:rowOff>79321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55E049F-AAD3-4D9E-85AB-C1888AEA42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380146" y="19495803"/>
          <a:ext cx="6165330" cy="42503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6</xdr:col>
      <xdr:colOff>933450</xdr:colOff>
      <xdr:row>68</xdr:row>
      <xdr:rowOff>152400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CF55ED6F-A4B9-41FC-882C-F25E16C5E8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67</xdr:row>
      <xdr:rowOff>0</xdr:rowOff>
    </xdr:from>
    <xdr:to>
      <xdr:col>17</xdr:col>
      <xdr:colOff>180976</xdr:colOff>
      <xdr:row>88</xdr:row>
      <xdr:rowOff>114300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F7D554D1-8AB2-4C5C-9DF1-0DAA6FCEBA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81</xdr:row>
      <xdr:rowOff>0</xdr:rowOff>
    </xdr:from>
    <xdr:to>
      <xdr:col>7</xdr:col>
      <xdr:colOff>132624</xdr:colOff>
      <xdr:row>100</xdr:row>
      <xdr:rowOff>186454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A23BC87C-0FEB-45BF-95BD-7174FEE8D3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7200" y="15592425"/>
          <a:ext cx="5809524" cy="3980952"/>
        </a:xfrm>
        <a:prstGeom prst="rect">
          <a:avLst/>
        </a:prstGeom>
      </xdr:spPr>
    </xdr:pic>
    <xdr:clientData/>
  </xdr:twoCellAnchor>
  <xdr:twoCellAnchor>
    <xdr:from>
      <xdr:col>24</xdr:col>
      <xdr:colOff>761999</xdr:colOff>
      <xdr:row>59</xdr:row>
      <xdr:rowOff>0</xdr:rowOff>
    </xdr:from>
    <xdr:to>
      <xdr:col>32</xdr:col>
      <xdr:colOff>683557</xdr:colOff>
      <xdr:row>81</xdr:row>
      <xdr:rowOff>123264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BA6E6E70-3AD5-486C-850D-51656FED5C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24</xdr:col>
      <xdr:colOff>481853</xdr:colOff>
      <xdr:row>93</xdr:row>
      <xdr:rowOff>134480</xdr:rowOff>
    </xdr:from>
    <xdr:to>
      <xdr:col>33</xdr:col>
      <xdr:colOff>235323</xdr:colOff>
      <xdr:row>116</xdr:row>
      <xdr:rowOff>42795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A8ECF7E5-C2D9-4BE9-98A3-35A8BCD52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9565471" y="18456098"/>
          <a:ext cx="6902823" cy="4415117"/>
        </a:xfrm>
        <a:prstGeom prst="rect">
          <a:avLst/>
        </a:prstGeom>
      </xdr:spPr>
    </xdr:pic>
    <xdr:clientData/>
  </xdr:twoCellAnchor>
  <xdr:twoCellAnchor editAs="oneCell">
    <xdr:from>
      <xdr:col>9</xdr:col>
      <xdr:colOff>49695</xdr:colOff>
      <xdr:row>92</xdr:row>
      <xdr:rowOff>43230</xdr:rowOff>
    </xdr:from>
    <xdr:to>
      <xdr:col>17</xdr:col>
      <xdr:colOff>372716</xdr:colOff>
      <xdr:row>114</xdr:row>
      <xdr:rowOff>12716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18B8B52-50A0-4F16-9AE5-90063C1F31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644847" y="18057904"/>
          <a:ext cx="6303065" cy="4268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24"/>
  <sheetViews>
    <sheetView tabSelected="1" zoomScale="85" zoomScaleNormal="85" workbookViewId="0">
      <selection activeCell="D3" sqref="D3"/>
    </sheetView>
  </sheetViews>
  <sheetFormatPr baseColWidth="10" defaultColWidth="9.1640625" defaultRowHeight="15" x14ac:dyDescent="0.2"/>
  <cols>
    <col min="1" max="1" width="6.83203125" customWidth="1"/>
    <col min="2" max="2" width="9.5" style="3" customWidth="1"/>
    <col min="3" max="3" width="14.5" style="29" customWidth="1"/>
    <col min="4" max="4" width="12.5" style="2" bestFit="1" customWidth="1"/>
    <col min="5" max="5" width="14.33203125" style="2" bestFit="1" customWidth="1"/>
    <col min="6" max="6" width="20.5" style="2" customWidth="1"/>
    <col min="7" max="7" width="10.5" style="3" customWidth="1"/>
    <col min="8" max="8" width="13.83203125" style="2" bestFit="1" customWidth="1"/>
    <col min="9" max="9" width="8.6640625" style="2" customWidth="1"/>
    <col min="10" max="10" width="15.6640625" style="2" bestFit="1" customWidth="1"/>
    <col min="11" max="11" width="9.5" style="22" bestFit="1" customWidth="1"/>
    <col min="12" max="12" width="13.5" style="22" bestFit="1" customWidth="1"/>
    <col min="13" max="13" width="11.33203125" style="22" customWidth="1"/>
    <col min="14" max="14" width="9.33203125" style="22" customWidth="1"/>
    <col min="15" max="15" width="12.1640625" style="22" bestFit="1" customWidth="1"/>
    <col min="16" max="22" width="9.1640625" style="22"/>
    <col min="24" max="25" width="9.1640625" style="2"/>
    <col min="26" max="26" width="15.6640625" style="2" bestFit="1" customWidth="1"/>
    <col min="27" max="34" width="9.1640625" style="2"/>
  </cols>
  <sheetData>
    <row r="1" spans="2:38" x14ac:dyDescent="0.2">
      <c r="B1" s="29" t="s">
        <v>196</v>
      </c>
    </row>
    <row r="2" spans="2:38" ht="16" thickBot="1" x14ac:dyDescent="0.25">
      <c r="B2" s="29" t="s">
        <v>197</v>
      </c>
    </row>
    <row r="3" spans="2:38" ht="25" thickBot="1" x14ac:dyDescent="0.35">
      <c r="B3" s="81" t="s">
        <v>15</v>
      </c>
      <c r="F3" s="40" t="s">
        <v>195</v>
      </c>
      <c r="X3" s="28" t="s">
        <v>190</v>
      </c>
    </row>
    <row r="4" spans="2:38" ht="17" x14ac:dyDescent="0.25">
      <c r="C4" s="110"/>
      <c r="E4" s="110"/>
      <c r="H4" s="21"/>
      <c r="I4" s="92"/>
      <c r="K4" s="39">
        <v>28.085000000000001</v>
      </c>
      <c r="L4" s="39">
        <v>47.866999999999997</v>
      </c>
      <c r="M4" s="39">
        <v>26.981000000000002</v>
      </c>
      <c r="N4" s="39">
        <v>51.996099999999998</v>
      </c>
      <c r="O4" s="39">
        <v>55.844999999999999</v>
      </c>
      <c r="P4" s="39">
        <v>24.305</v>
      </c>
      <c r="Q4" s="39">
        <v>54.938000000000002</v>
      </c>
      <c r="R4" s="39">
        <v>40.078000000000003</v>
      </c>
      <c r="S4" s="39">
        <v>22.989000000000001</v>
      </c>
      <c r="T4" s="39">
        <v>39.098300000000002</v>
      </c>
      <c r="U4" s="39">
        <v>15.999000000000001</v>
      </c>
      <c r="V4" s="39">
        <f>U4+2*1.008</f>
        <v>18.015000000000001</v>
      </c>
      <c r="X4" s="168" t="s">
        <v>188</v>
      </c>
      <c r="Y4" s="2" t="s">
        <v>189</v>
      </c>
    </row>
    <row r="5" spans="2:38" ht="18" thickBot="1" x14ac:dyDescent="0.25">
      <c r="B5" s="44" t="s">
        <v>72</v>
      </c>
      <c r="C5" s="48" t="s">
        <v>96</v>
      </c>
      <c r="D5" s="43" t="s">
        <v>5</v>
      </c>
      <c r="E5" s="43" t="s">
        <v>26</v>
      </c>
      <c r="F5" s="43" t="s">
        <v>27</v>
      </c>
      <c r="G5" s="44" t="s">
        <v>92</v>
      </c>
      <c r="H5" s="43" t="s">
        <v>93</v>
      </c>
      <c r="I5" s="43" t="s">
        <v>94</v>
      </c>
      <c r="J5" s="43" t="s">
        <v>95</v>
      </c>
      <c r="K5" s="33" t="s">
        <v>40</v>
      </c>
      <c r="L5" s="33" t="s">
        <v>41</v>
      </c>
      <c r="M5" s="33" t="s">
        <v>42</v>
      </c>
      <c r="N5" s="33" t="s">
        <v>43</v>
      </c>
      <c r="O5" s="33" t="s">
        <v>83</v>
      </c>
      <c r="P5" s="33" t="s">
        <v>45</v>
      </c>
      <c r="Q5" s="33" t="s">
        <v>84</v>
      </c>
      <c r="R5" s="33" t="s">
        <v>47</v>
      </c>
      <c r="S5" s="33" t="s">
        <v>48</v>
      </c>
      <c r="T5" s="33" t="s">
        <v>49</v>
      </c>
      <c r="U5" s="33" t="s">
        <v>24</v>
      </c>
      <c r="V5" s="33" t="s">
        <v>85</v>
      </c>
      <c r="X5" s="43" t="s">
        <v>94</v>
      </c>
      <c r="Y5" s="43" t="s">
        <v>94</v>
      </c>
      <c r="Z5" s="43" t="s">
        <v>95</v>
      </c>
      <c r="AA5" s="33" t="s">
        <v>40</v>
      </c>
      <c r="AB5" s="33" t="s">
        <v>41</v>
      </c>
      <c r="AC5" s="33" t="s">
        <v>42</v>
      </c>
      <c r="AD5" s="33" t="s">
        <v>43</v>
      </c>
      <c r="AE5" s="33" t="s">
        <v>83</v>
      </c>
      <c r="AF5" s="33" t="s">
        <v>45</v>
      </c>
      <c r="AG5" s="33" t="s">
        <v>84</v>
      </c>
      <c r="AH5" s="33" t="s">
        <v>47</v>
      </c>
      <c r="AI5" s="33" t="s">
        <v>48</v>
      </c>
      <c r="AJ5" s="33" t="s">
        <v>49</v>
      </c>
      <c r="AK5" s="33" t="s">
        <v>24</v>
      </c>
      <c r="AL5" s="33" t="s">
        <v>85</v>
      </c>
    </row>
    <row r="6" spans="2:38" ht="16" thickTop="1" x14ac:dyDescent="0.2">
      <c r="B6" s="46"/>
      <c r="C6" s="38"/>
      <c r="D6" s="45"/>
      <c r="E6" s="45"/>
      <c r="F6" s="45"/>
      <c r="G6" s="46"/>
      <c r="H6" s="45"/>
      <c r="I6" s="45"/>
      <c r="J6" s="4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</row>
    <row r="7" spans="2:38" ht="16" thickBot="1" x14ac:dyDescent="0.25">
      <c r="B7" s="46"/>
      <c r="C7" s="47" t="s">
        <v>0</v>
      </c>
      <c r="D7" s="130" t="s">
        <v>186</v>
      </c>
      <c r="E7" s="133">
        <f>E8-F8/100*E8</f>
        <v>2.0000000000000071</v>
      </c>
      <c r="F7" s="45"/>
      <c r="G7" s="46"/>
      <c r="H7" s="45"/>
      <c r="I7" s="45"/>
      <c r="J7" s="45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</row>
    <row r="8" spans="2:38" ht="16" thickBot="1" x14ac:dyDescent="0.25">
      <c r="C8" s="29" t="s">
        <v>6</v>
      </c>
      <c r="D8" s="2">
        <v>114512</v>
      </c>
      <c r="E8" s="42">
        <f>D8/D$13*100</f>
        <v>35.814098955401263</v>
      </c>
      <c r="F8" s="35">
        <v>94.415607097946051</v>
      </c>
      <c r="G8" s="90" t="s">
        <v>131</v>
      </c>
    </row>
    <row r="9" spans="2:38" x14ac:dyDescent="0.2">
      <c r="B9" s="6">
        <f>Additional!D6</f>
        <v>146.55318386313746</v>
      </c>
      <c r="C9" s="29" t="s">
        <v>1</v>
      </c>
      <c r="D9" s="2">
        <v>1753</v>
      </c>
      <c r="E9" s="41">
        <f>D9/D$13*100+F8/100*E8</f>
        <v>34.362356914993427</v>
      </c>
      <c r="F9" s="5">
        <f>Additional!D5</f>
        <v>44.025483049649139</v>
      </c>
      <c r="G9" s="7">
        <f>1/F9*E9/100</f>
        <v>7.805106164591482E-3</v>
      </c>
      <c r="H9" s="21">
        <f>G9*B9</f>
        <v>1.1438631588106831</v>
      </c>
      <c r="I9" s="92">
        <f>1/H$13*H9</f>
        <v>0.39862350653456924</v>
      </c>
      <c r="J9" s="21">
        <f>I9/B9</f>
        <v>2.7199921286379849E-3</v>
      </c>
      <c r="K9" s="23">
        <v>0.99857026424627093</v>
      </c>
      <c r="L9" s="23">
        <v>1.0990369323650568E-4</v>
      </c>
      <c r="M9" s="23">
        <v>4.878582991249243E-4</v>
      </c>
      <c r="N9" s="23">
        <v>2.6337639207643773E-4</v>
      </c>
      <c r="O9" s="23">
        <v>0.18080795473308686</v>
      </c>
      <c r="P9" s="23">
        <v>1.8155169739887416</v>
      </c>
      <c r="Q9" s="23">
        <v>3.096351427492748E-3</v>
      </c>
      <c r="R9" s="23">
        <v>1.8497795635051531E-3</v>
      </c>
      <c r="S9" s="23">
        <v>3.903047748392106E-4</v>
      </c>
      <c r="T9" s="23">
        <v>9.3199967874282619E-5</v>
      </c>
      <c r="U9" s="23">
        <v>4</v>
      </c>
      <c r="V9" s="25">
        <v>0</v>
      </c>
      <c r="X9" s="92">
        <f>I9-V9*Additional!$B$21/B9*I9</f>
        <v>0.39862350653456924</v>
      </c>
      <c r="Y9" s="92">
        <f>1/X$13*X9</f>
        <v>0.4325984698851677</v>
      </c>
      <c r="Z9" s="21">
        <f>Y9/(B9-V9*Additional!$B$21)</f>
        <v>2.9518189812181845E-3</v>
      </c>
      <c r="AA9" s="5">
        <f>K9</f>
        <v>0.99857026424627093</v>
      </c>
      <c r="AB9" s="5">
        <f t="shared" ref="AB9:AK9" si="0">L9</f>
        <v>1.0990369323650568E-4</v>
      </c>
      <c r="AC9" s="5">
        <f t="shared" si="0"/>
        <v>4.878582991249243E-4</v>
      </c>
      <c r="AD9" s="5">
        <f t="shared" si="0"/>
        <v>2.6337639207643773E-4</v>
      </c>
      <c r="AE9" s="5">
        <f t="shared" si="0"/>
        <v>0.18080795473308686</v>
      </c>
      <c r="AF9" s="5">
        <f t="shared" si="0"/>
        <v>1.8155169739887416</v>
      </c>
      <c r="AG9" s="5">
        <f t="shared" si="0"/>
        <v>3.096351427492748E-3</v>
      </c>
      <c r="AH9" s="5">
        <f t="shared" si="0"/>
        <v>1.8497795635051531E-3</v>
      </c>
      <c r="AI9" s="5">
        <f t="shared" si="0"/>
        <v>3.903047748392106E-4</v>
      </c>
      <c r="AJ9" s="5">
        <f t="shared" si="0"/>
        <v>9.3199967874282619E-5</v>
      </c>
      <c r="AK9" s="5">
        <f t="shared" si="0"/>
        <v>4</v>
      </c>
      <c r="AL9" s="5">
        <v>0</v>
      </c>
    </row>
    <row r="10" spans="2:38" x14ac:dyDescent="0.2">
      <c r="B10" s="6">
        <f>Additional!H6</f>
        <v>60.501652198107273</v>
      </c>
      <c r="C10" s="29" t="s">
        <v>2</v>
      </c>
      <c r="D10" s="2">
        <v>21480</v>
      </c>
      <c r="E10" s="41">
        <f>D10/D$13*100</f>
        <v>6.7179583411521859</v>
      </c>
      <c r="F10" s="5">
        <f>Additional!H5</f>
        <v>24.752923815381418</v>
      </c>
      <c r="G10" s="7">
        <f t="shared" ref="G10:G43" si="1">1/F10*E10/100</f>
        <v>2.7140059862252154E-3</v>
      </c>
      <c r="H10" s="21">
        <f t="shared" ref="H10:H43" si="2">G10*B10</f>
        <v>0.16420184624217909</v>
      </c>
      <c r="I10" s="92">
        <f t="shared" ref="I10:I12" si="3">1/H$13*H10</f>
        <v>5.7222505353318048E-2</v>
      </c>
      <c r="J10" s="21">
        <f t="shared" ref="J10:J43" si="4">I10/B10</f>
        <v>9.4580070583771911E-4</v>
      </c>
      <c r="K10" s="24">
        <v>1.8127971100649367E-3</v>
      </c>
      <c r="L10" s="24">
        <v>2.8796443774412278E-5</v>
      </c>
      <c r="M10" s="24">
        <v>1.8871180544313699E-3</v>
      </c>
      <c r="N10" s="24">
        <v>2.4363068017288355E-5</v>
      </c>
      <c r="O10" s="24">
        <v>6.7608571287190694E-2</v>
      </c>
      <c r="P10" s="24">
        <v>0.92239835242678259</v>
      </c>
      <c r="Q10" s="24">
        <v>3.312486338671719E-3</v>
      </c>
      <c r="R10" s="24">
        <v>5.9079967819310575E-5</v>
      </c>
      <c r="S10" s="24">
        <v>7.5943505481925754E-5</v>
      </c>
      <c r="T10" s="24">
        <v>6.6258870885959839E-5</v>
      </c>
      <c r="U10" s="24">
        <v>1</v>
      </c>
      <c r="V10" s="25">
        <v>1</v>
      </c>
      <c r="X10" s="92">
        <f>I10-V10*Additional!$B$21/B10*I10</f>
        <v>4.0183905637651535E-2</v>
      </c>
      <c r="Y10" s="92">
        <f t="shared" ref="Y10:Y12" si="5">1/X$13*X10</f>
        <v>4.3608808331403542E-2</v>
      </c>
      <c r="Z10" s="21">
        <f>Y10/(B10-V10*Additional!$B$21)</f>
        <v>1.0264119688240879E-3</v>
      </c>
      <c r="AA10" s="5">
        <f t="shared" ref="AA10:AA48" si="6">K10</f>
        <v>1.8127971100649367E-3</v>
      </c>
      <c r="AB10" s="5">
        <f t="shared" ref="AB10:AB48" si="7">L10</f>
        <v>2.8796443774412278E-5</v>
      </c>
      <c r="AC10" s="5">
        <f t="shared" ref="AC10:AC48" si="8">M10</f>
        <v>1.8871180544313699E-3</v>
      </c>
      <c r="AD10" s="5">
        <f t="shared" ref="AD10:AD48" si="9">N10</f>
        <v>2.4363068017288355E-5</v>
      </c>
      <c r="AE10" s="5">
        <f t="shared" ref="AE10:AE48" si="10">O10</f>
        <v>6.7608571287190694E-2</v>
      </c>
      <c r="AF10" s="5">
        <f t="shared" ref="AF10:AF48" si="11">P10</f>
        <v>0.92239835242678259</v>
      </c>
      <c r="AG10" s="5">
        <f t="shared" ref="AG10:AG48" si="12">Q10</f>
        <v>3.312486338671719E-3</v>
      </c>
      <c r="AH10" s="5">
        <f t="shared" ref="AH10:AH48" si="13">R10</f>
        <v>5.9079967819310575E-5</v>
      </c>
      <c r="AI10" s="5">
        <f t="shared" ref="AI10:AI48" si="14">S10</f>
        <v>7.5943505481925754E-5</v>
      </c>
      <c r="AJ10" s="5">
        <f t="shared" ref="AJ10:AJ48" si="15">T10</f>
        <v>6.6258870885959839E-5</v>
      </c>
      <c r="AK10" s="5">
        <f t="shared" ref="AK10:AK48" si="16">U10</f>
        <v>1</v>
      </c>
      <c r="AL10" s="169">
        <v>0</v>
      </c>
    </row>
    <row r="11" spans="2:38" x14ac:dyDescent="0.2">
      <c r="B11" s="6">
        <f>Additional!F6</f>
        <v>279.63417552429735</v>
      </c>
      <c r="C11" s="29" t="s">
        <v>10</v>
      </c>
      <c r="D11" s="2">
        <v>170199</v>
      </c>
      <c r="E11" s="41">
        <f>D11/D$13*100</f>
        <v>53.230437230249585</v>
      </c>
      <c r="F11" s="5">
        <f>Additional!F5</f>
        <v>108.68001242921663</v>
      </c>
      <c r="G11" s="7">
        <f t="shared" si="1"/>
        <v>4.8979049634281738E-3</v>
      </c>
      <c r="H11" s="21">
        <f t="shared" si="2"/>
        <v>1.3696216162446011</v>
      </c>
      <c r="I11" s="92">
        <f t="shared" si="3"/>
        <v>0.47729780182852061</v>
      </c>
      <c r="J11" s="21">
        <f t="shared" si="4"/>
        <v>1.7068650530058273E-3</v>
      </c>
      <c r="K11" s="23">
        <v>2.0069061210462356</v>
      </c>
      <c r="L11" s="23">
        <v>1.5512225114378933E-4</v>
      </c>
      <c r="M11" s="23">
        <v>1.0026396547041041E-2</v>
      </c>
      <c r="N11" s="23">
        <v>1.8228447626193522E-4</v>
      </c>
      <c r="O11" s="23">
        <v>8.2090502180104025E-2</v>
      </c>
      <c r="P11" s="23">
        <v>2.8820840633915683</v>
      </c>
      <c r="Q11" s="23">
        <v>3.0964889622204215E-3</v>
      </c>
      <c r="R11" s="23">
        <v>8.5696559491979486E-4</v>
      </c>
      <c r="S11" s="23">
        <v>4.2577795467515205E-3</v>
      </c>
      <c r="T11" s="23">
        <v>6.1516393619500949E-4</v>
      </c>
      <c r="U11" s="23">
        <v>7</v>
      </c>
      <c r="V11" s="25">
        <v>2</v>
      </c>
      <c r="X11" s="92">
        <f>I11-V11*Additional!$B$21/B11*I11</f>
        <v>0.41579945396872064</v>
      </c>
      <c r="Y11" s="92">
        <f t="shared" si="5"/>
        <v>0.45123833546519115</v>
      </c>
      <c r="Z11" s="21">
        <f>Y11/(B11-V11*Additional!$B$21)</f>
        <v>1.8523423684918905E-3</v>
      </c>
      <c r="AA11" s="5">
        <f t="shared" si="6"/>
        <v>2.0069061210462356</v>
      </c>
      <c r="AB11" s="5">
        <f t="shared" si="7"/>
        <v>1.5512225114378933E-4</v>
      </c>
      <c r="AC11" s="5">
        <f t="shared" si="8"/>
        <v>1.0026396547041041E-2</v>
      </c>
      <c r="AD11" s="5">
        <f t="shared" si="9"/>
        <v>1.8228447626193522E-4</v>
      </c>
      <c r="AE11" s="5">
        <f t="shared" si="10"/>
        <v>8.2090502180104025E-2</v>
      </c>
      <c r="AF11" s="5">
        <f t="shared" si="11"/>
        <v>2.8820840633915683</v>
      </c>
      <c r="AG11" s="5">
        <f t="shared" si="12"/>
        <v>3.0964889622204215E-3</v>
      </c>
      <c r="AH11" s="5">
        <f t="shared" si="13"/>
        <v>8.5696559491979486E-4</v>
      </c>
      <c r="AI11" s="5">
        <f t="shared" si="14"/>
        <v>4.2577795467515205E-3</v>
      </c>
      <c r="AJ11" s="5">
        <f t="shared" si="15"/>
        <v>6.1516393619500949E-4</v>
      </c>
      <c r="AK11" s="5">
        <f t="shared" si="16"/>
        <v>7</v>
      </c>
      <c r="AL11" s="169">
        <v>0</v>
      </c>
    </row>
    <row r="12" spans="2:38" x14ac:dyDescent="0.2">
      <c r="B12" s="6">
        <f>Additional!J6</f>
        <v>231.53100000000001</v>
      </c>
      <c r="C12" s="29" t="s">
        <v>3</v>
      </c>
      <c r="D12" s="2">
        <v>11796</v>
      </c>
      <c r="E12" s="41">
        <f>D12/D$13*100</f>
        <v>3.689247513604804</v>
      </c>
      <c r="F12" s="5">
        <f>Additional!J5</f>
        <v>44.524000000000001</v>
      </c>
      <c r="G12" s="7">
        <f t="shared" si="1"/>
        <v>8.2859750103422966E-4</v>
      </c>
      <c r="H12" s="21">
        <f t="shared" si="2"/>
        <v>0.19184600801195623</v>
      </c>
      <c r="I12" s="92">
        <f t="shared" si="3"/>
        <v>6.6856186283592037E-2</v>
      </c>
      <c r="J12" s="21">
        <f t="shared" si="4"/>
        <v>2.8875695385754838E-4</v>
      </c>
      <c r="K12" s="24">
        <v>0</v>
      </c>
      <c r="L12" s="24">
        <v>0</v>
      </c>
      <c r="M12" s="24">
        <v>0</v>
      </c>
      <c r="N12" s="24">
        <v>0</v>
      </c>
      <c r="O12" s="24">
        <v>3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4</v>
      </c>
      <c r="V12" s="25">
        <v>0</v>
      </c>
      <c r="X12" s="92">
        <f>I12-V12*Additional!$B$21/B12*I12</f>
        <v>6.6856186283592037E-2</v>
      </c>
      <c r="Y12" s="92">
        <f t="shared" si="5"/>
        <v>7.2554386318237615E-2</v>
      </c>
      <c r="Z12" s="21">
        <f>Y12/(B12-V12*Additional!$B$21)</f>
        <v>3.1336791323078813E-4</v>
      </c>
      <c r="AA12" s="5">
        <f t="shared" si="6"/>
        <v>0</v>
      </c>
      <c r="AB12" s="5">
        <f t="shared" si="7"/>
        <v>0</v>
      </c>
      <c r="AC12" s="5">
        <f t="shared" si="8"/>
        <v>0</v>
      </c>
      <c r="AD12" s="5">
        <f t="shared" si="9"/>
        <v>0</v>
      </c>
      <c r="AE12" s="5">
        <f t="shared" si="10"/>
        <v>3</v>
      </c>
      <c r="AF12" s="5">
        <f t="shared" si="11"/>
        <v>0</v>
      </c>
      <c r="AG12" s="5">
        <f t="shared" si="12"/>
        <v>0</v>
      </c>
      <c r="AH12" s="5">
        <f t="shared" si="13"/>
        <v>0</v>
      </c>
      <c r="AI12" s="5">
        <f t="shared" si="14"/>
        <v>0</v>
      </c>
      <c r="AJ12" s="5">
        <f t="shared" si="15"/>
        <v>0</v>
      </c>
      <c r="AK12" s="5">
        <f t="shared" si="16"/>
        <v>4</v>
      </c>
      <c r="AL12" s="5">
        <v>0</v>
      </c>
    </row>
    <row r="13" spans="2:38" x14ac:dyDescent="0.2">
      <c r="C13" s="30" t="s">
        <v>81</v>
      </c>
      <c r="D13" s="2">
        <f>SUM(D8:D12)</f>
        <v>319740</v>
      </c>
      <c r="E13" s="41"/>
      <c r="G13" s="7">
        <f>SUM(G8:G12)</f>
        <v>1.62456146152791E-2</v>
      </c>
      <c r="H13" s="21">
        <f>SUM(H8:H12)</f>
        <v>2.8695326293094197</v>
      </c>
      <c r="I13" s="92">
        <f>SUM(I8:I12)</f>
        <v>0.99999999999999989</v>
      </c>
      <c r="J13" s="21" t="s">
        <v>97</v>
      </c>
      <c r="K13" s="27">
        <f>SUMPRODUCT($J9:$J12,K9:K12)</f>
        <v>6.143335726105351E-3</v>
      </c>
      <c r="L13" s="27">
        <f t="shared" ref="L13:V13" si="17">SUMPRODUCT($J9:$J12,L9:L12)</f>
        <v>5.9094562677992173E-7</v>
      </c>
      <c r="M13" s="27">
        <f t="shared" si="17"/>
        <v>2.0225514195113453E-5</v>
      </c>
      <c r="N13" s="27">
        <f t="shared" si="17"/>
        <v>1.0505593224810736E-6</v>
      </c>
      <c r="O13" s="27">
        <f t="shared" si="17"/>
        <v>1.5621287190407975E-3</v>
      </c>
      <c r="P13" s="27">
        <f t="shared" si="17"/>
        <v>1.0729925459074929E-2</v>
      </c>
      <c r="Q13" s="27">
        <f t="shared" si="17"/>
        <v>1.6840292224103098E-5</v>
      </c>
      <c r="R13" s="27">
        <f t="shared" si="17"/>
        <v>6.5499883533107429E-6</v>
      </c>
      <c r="S13" s="27">
        <f t="shared" si="17"/>
        <v>8.4009084481742309E-6</v>
      </c>
      <c r="T13" s="27">
        <f t="shared" si="17"/>
        <v>1.3661726904200811E-6</v>
      </c>
      <c r="U13" s="27">
        <f t="shared" si="17"/>
        <v>2.4928852406860644E-2</v>
      </c>
      <c r="V13" s="27">
        <f t="shared" si="17"/>
        <v>4.3595308118493737E-3</v>
      </c>
      <c r="X13" s="92">
        <f>SUM(X9:X12)</f>
        <v>0.92146305242453341</v>
      </c>
      <c r="Y13" s="92">
        <f>SUM(Y9:Y12)</f>
        <v>1</v>
      </c>
      <c r="Z13" s="21" t="s">
        <v>97</v>
      </c>
      <c r="AA13" s="170">
        <f>SUMPRODUCT($Z9:$Z12,AA9:AA12)</f>
        <v>6.6669365743326778E-3</v>
      </c>
      <c r="AB13" s="170">
        <f t="shared" ref="AB13:AL13" si="18">SUMPRODUCT($Z9:$Z12,AB9:AB12)</f>
        <v>6.4131234044060534E-7</v>
      </c>
      <c r="AC13" s="170">
        <f t="shared" si="18"/>
        <v>2.1949349072539072E-5</v>
      </c>
      <c r="AD13" s="170">
        <f t="shared" si="18"/>
        <v>1.1400992364445486E-6</v>
      </c>
      <c r="AE13" s="170">
        <f t="shared" si="18"/>
        <v>1.6952700544319802E-3</v>
      </c>
      <c r="AF13" s="170">
        <f t="shared" si="18"/>
        <v>1.1644444593673708E-2</v>
      </c>
      <c r="AG13" s="170">
        <f t="shared" si="18"/>
        <v>1.8275602239062419E-5</v>
      </c>
      <c r="AH13" s="170">
        <f t="shared" si="18"/>
        <v>7.1082484925212761E-6</v>
      </c>
      <c r="AI13" s="170">
        <f t="shared" si="18"/>
        <v>9.1169238159576161E-6</v>
      </c>
      <c r="AJ13" s="170">
        <f t="shared" si="18"/>
        <v>1.4826125549206096E-6</v>
      </c>
      <c r="AK13" s="170">
        <f t="shared" si="18"/>
        <v>2.7053556126063215E-2</v>
      </c>
      <c r="AL13" s="170">
        <f t="shared" si="18"/>
        <v>0</v>
      </c>
    </row>
    <row r="14" spans="2:38" x14ac:dyDescent="0.2">
      <c r="G14" s="7"/>
      <c r="H14" s="21"/>
      <c r="I14" s="92"/>
      <c r="J14" s="21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Z14" s="21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</row>
    <row r="15" spans="2:38" ht="16" thickBot="1" x14ac:dyDescent="0.25">
      <c r="C15" s="28" t="s">
        <v>4</v>
      </c>
      <c r="D15" s="130" t="s">
        <v>186</v>
      </c>
      <c r="E15" s="41">
        <f>E16-F16/100*E16</f>
        <v>3.9999999999999858</v>
      </c>
      <c r="G15" s="7"/>
      <c r="H15" s="21"/>
      <c r="I15" s="92"/>
      <c r="J15" s="21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Z15" s="21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</row>
    <row r="16" spans="2:38" ht="16" thickBot="1" x14ac:dyDescent="0.25">
      <c r="C16" t="s">
        <v>192</v>
      </c>
      <c r="D16" s="2">
        <v>85790</v>
      </c>
      <c r="E16" s="42">
        <f>D16/D$20*100</f>
        <v>26.115597821620025</v>
      </c>
      <c r="F16" s="35">
        <v>84.683482923417699</v>
      </c>
      <c r="G16" s="90" t="s">
        <v>131</v>
      </c>
      <c r="H16" s="21"/>
      <c r="I16" s="92"/>
      <c r="J16" s="21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X16" s="92"/>
      <c r="Y16" s="92"/>
      <c r="Z16" s="21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</row>
    <row r="17" spans="2:38" x14ac:dyDescent="0.2">
      <c r="B17" s="6">
        <f>Additional!D6</f>
        <v>146.55318386313746</v>
      </c>
      <c r="C17" s="29" t="s">
        <v>1</v>
      </c>
      <c r="D17" s="2">
        <v>21299</v>
      </c>
      <c r="E17" s="41">
        <f>D17/D$20*100+F16/100*E16</f>
        <v>28.599291935184382</v>
      </c>
      <c r="F17" s="5">
        <f>F9</f>
        <v>44.025483049649139</v>
      </c>
      <c r="G17" s="7">
        <f t="shared" si="1"/>
        <v>6.4960768069101983E-3</v>
      </c>
      <c r="H17" s="21">
        <f t="shared" si="2"/>
        <v>0.95202073867217318</v>
      </c>
      <c r="I17" s="92">
        <f>1/H$20*H17</f>
        <v>0.34319137714153386</v>
      </c>
      <c r="J17" s="21">
        <f t="shared" si="4"/>
        <v>2.3417531308090318E-3</v>
      </c>
      <c r="K17" s="25">
        <f>K9</f>
        <v>0.99857026424627093</v>
      </c>
      <c r="L17" s="25">
        <f t="shared" ref="L17:U17" si="19">L9</f>
        <v>1.0990369323650568E-4</v>
      </c>
      <c r="M17" s="25">
        <f t="shared" si="19"/>
        <v>4.878582991249243E-4</v>
      </c>
      <c r="N17" s="25">
        <f t="shared" si="19"/>
        <v>2.6337639207643773E-4</v>
      </c>
      <c r="O17" s="25">
        <f t="shared" si="19"/>
        <v>0.18080795473308686</v>
      </c>
      <c r="P17" s="25">
        <f t="shared" si="19"/>
        <v>1.8155169739887416</v>
      </c>
      <c r="Q17" s="25">
        <f t="shared" si="19"/>
        <v>3.096351427492748E-3</v>
      </c>
      <c r="R17" s="25">
        <f t="shared" si="19"/>
        <v>1.8497795635051531E-3</v>
      </c>
      <c r="S17" s="25">
        <f t="shared" si="19"/>
        <v>3.903047748392106E-4</v>
      </c>
      <c r="T17" s="25">
        <f t="shared" si="19"/>
        <v>9.3199967874282619E-5</v>
      </c>
      <c r="U17" s="25">
        <f t="shared" si="19"/>
        <v>4</v>
      </c>
      <c r="V17" s="25">
        <v>0</v>
      </c>
      <c r="X17" s="92">
        <f>I17-V17*Additional!$B$21/B17*I17</f>
        <v>0.34319137714153386</v>
      </c>
      <c r="Y17" s="92">
        <f>1/X$20*X17</f>
        <v>0.37164348221278731</v>
      </c>
      <c r="Z17" s="21">
        <f>Y17/(B17-V17*Additional!$B$21)</f>
        <v>2.5358949728438267E-3</v>
      </c>
      <c r="AA17" s="5">
        <f t="shared" si="6"/>
        <v>0.99857026424627093</v>
      </c>
      <c r="AB17" s="5">
        <f t="shared" si="7"/>
        <v>1.0990369323650568E-4</v>
      </c>
      <c r="AC17" s="5">
        <f t="shared" si="8"/>
        <v>4.878582991249243E-4</v>
      </c>
      <c r="AD17" s="5">
        <f t="shared" si="9"/>
        <v>2.6337639207643773E-4</v>
      </c>
      <c r="AE17" s="5">
        <f t="shared" si="10"/>
        <v>0.18080795473308686</v>
      </c>
      <c r="AF17" s="5">
        <f t="shared" si="11"/>
        <v>1.8155169739887416</v>
      </c>
      <c r="AG17" s="5">
        <f t="shared" si="12"/>
        <v>3.096351427492748E-3</v>
      </c>
      <c r="AH17" s="5">
        <f t="shared" si="13"/>
        <v>1.8497795635051531E-3</v>
      </c>
      <c r="AI17" s="5">
        <f t="shared" si="14"/>
        <v>3.903047748392106E-4</v>
      </c>
      <c r="AJ17" s="5">
        <f t="shared" si="15"/>
        <v>9.3199967874282619E-5</v>
      </c>
      <c r="AK17" s="5">
        <f t="shared" si="16"/>
        <v>4</v>
      </c>
      <c r="AL17" s="5">
        <f t="shared" ref="AL17:AL48" si="20">V17</f>
        <v>0</v>
      </c>
    </row>
    <row r="18" spans="2:38" x14ac:dyDescent="0.2">
      <c r="B18" s="6">
        <f>Additional!F6</f>
        <v>279.63417552429735</v>
      </c>
      <c r="C18" s="29" t="s">
        <v>10</v>
      </c>
      <c r="D18" s="2">
        <v>210436</v>
      </c>
      <c r="E18" s="41">
        <f>D18/D$20*100</f>
        <v>64.059470138599266</v>
      </c>
      <c r="F18" s="5">
        <f>F11</f>
        <v>108.68001242921663</v>
      </c>
      <c r="G18" s="7">
        <f t="shared" si="1"/>
        <v>5.8943193607307728E-3</v>
      </c>
      <c r="H18" s="21">
        <f t="shared" si="2"/>
        <v>1.648253134714853</v>
      </c>
      <c r="I18" s="92">
        <f t="shared" ref="I18:I19" si="21">1/H$20*H18</f>
        <v>0.59417430755720846</v>
      </c>
      <c r="J18" s="21">
        <f t="shared" si="4"/>
        <v>2.1248272191450391E-3</v>
      </c>
      <c r="K18" s="25">
        <f>K11</f>
        <v>2.0069061210462356</v>
      </c>
      <c r="L18" s="25">
        <f t="shared" ref="L18:U18" si="22">L11</f>
        <v>1.5512225114378933E-4</v>
      </c>
      <c r="M18" s="25">
        <f t="shared" si="22"/>
        <v>1.0026396547041041E-2</v>
      </c>
      <c r="N18" s="25">
        <f t="shared" si="22"/>
        <v>1.8228447626193522E-4</v>
      </c>
      <c r="O18" s="25">
        <f t="shared" si="22"/>
        <v>8.2090502180104025E-2</v>
      </c>
      <c r="P18" s="25">
        <f t="shared" si="22"/>
        <v>2.8820840633915683</v>
      </c>
      <c r="Q18" s="25">
        <f t="shared" si="22"/>
        <v>3.0964889622204215E-3</v>
      </c>
      <c r="R18" s="25">
        <f t="shared" si="22"/>
        <v>8.5696559491979486E-4</v>
      </c>
      <c r="S18" s="25">
        <f t="shared" si="22"/>
        <v>4.2577795467515205E-3</v>
      </c>
      <c r="T18" s="25">
        <f t="shared" si="22"/>
        <v>6.1516393619500949E-4</v>
      </c>
      <c r="U18" s="25">
        <f t="shared" si="22"/>
        <v>7</v>
      </c>
      <c r="V18" s="25">
        <v>2</v>
      </c>
      <c r="X18" s="92">
        <f>I18-V18*Additional!$B$21/B18*I18</f>
        <v>0.51761678285141266</v>
      </c>
      <c r="Y18" s="92">
        <f t="shared" ref="Y18:Y19" si="23">1/X$20*X18</f>
        <v>0.56052953670611971</v>
      </c>
      <c r="Z18" s="21">
        <f>Y18/(B18-V18*Additional!$B$21)</f>
        <v>2.3009849297522074E-3</v>
      </c>
      <c r="AA18" s="5">
        <f t="shared" si="6"/>
        <v>2.0069061210462356</v>
      </c>
      <c r="AB18" s="5">
        <f t="shared" si="7"/>
        <v>1.5512225114378933E-4</v>
      </c>
      <c r="AC18" s="5">
        <f t="shared" si="8"/>
        <v>1.0026396547041041E-2</v>
      </c>
      <c r="AD18" s="5">
        <f t="shared" si="9"/>
        <v>1.8228447626193522E-4</v>
      </c>
      <c r="AE18" s="5">
        <f t="shared" si="10"/>
        <v>8.2090502180104025E-2</v>
      </c>
      <c r="AF18" s="5">
        <f t="shared" si="11"/>
        <v>2.8820840633915683</v>
      </c>
      <c r="AG18" s="5">
        <f t="shared" si="12"/>
        <v>3.0964889622204215E-3</v>
      </c>
      <c r="AH18" s="5">
        <f t="shared" si="13"/>
        <v>8.5696559491979486E-4</v>
      </c>
      <c r="AI18" s="5">
        <f t="shared" si="14"/>
        <v>4.2577795467515205E-3</v>
      </c>
      <c r="AJ18" s="5">
        <f t="shared" si="15"/>
        <v>6.1516393619500949E-4</v>
      </c>
      <c r="AK18" s="5">
        <f t="shared" si="16"/>
        <v>7</v>
      </c>
      <c r="AL18" s="169">
        <v>0</v>
      </c>
    </row>
    <row r="19" spans="2:38" x14ac:dyDescent="0.2">
      <c r="B19" s="6">
        <f>Additional!J6</f>
        <v>231.53100000000001</v>
      </c>
      <c r="C19" s="29" t="s">
        <v>3</v>
      </c>
      <c r="D19" s="2">
        <v>10976</v>
      </c>
      <c r="E19" s="41">
        <f>D19/D$20*100</f>
        <v>3.3412379262163587</v>
      </c>
      <c r="F19" s="5">
        <f>F12</f>
        <v>44.524000000000001</v>
      </c>
      <c r="G19" s="7">
        <f t="shared" si="1"/>
        <v>7.5043525429349526E-4</v>
      </c>
      <c r="H19" s="21">
        <f t="shared" si="2"/>
        <v>0.17374902486182725</v>
      </c>
      <c r="I19" s="92">
        <f t="shared" si="21"/>
        <v>6.263431530125764E-2</v>
      </c>
      <c r="J19" s="21">
        <f t="shared" si="4"/>
        <v>2.7052237195562427E-4</v>
      </c>
      <c r="K19" s="25">
        <f>K12</f>
        <v>0</v>
      </c>
      <c r="L19" s="25">
        <f t="shared" ref="L19:U19" si="24">L12</f>
        <v>0</v>
      </c>
      <c r="M19" s="25">
        <f t="shared" si="24"/>
        <v>0</v>
      </c>
      <c r="N19" s="25">
        <f t="shared" si="24"/>
        <v>0</v>
      </c>
      <c r="O19" s="25">
        <f t="shared" si="24"/>
        <v>3</v>
      </c>
      <c r="P19" s="25">
        <f t="shared" si="24"/>
        <v>0</v>
      </c>
      <c r="Q19" s="25">
        <f t="shared" si="24"/>
        <v>0</v>
      </c>
      <c r="R19" s="25">
        <f t="shared" si="24"/>
        <v>0</v>
      </c>
      <c r="S19" s="25">
        <f t="shared" si="24"/>
        <v>0</v>
      </c>
      <c r="T19" s="25">
        <f t="shared" si="24"/>
        <v>0</v>
      </c>
      <c r="U19" s="25">
        <f t="shared" si="24"/>
        <v>4</v>
      </c>
      <c r="V19" s="25">
        <v>0</v>
      </c>
      <c r="X19" s="92">
        <f>I19-V19*Additional!$B$21/B19*I19</f>
        <v>6.263431530125764E-2</v>
      </c>
      <c r="Y19" s="92">
        <f t="shared" si="23"/>
        <v>6.782698108109296E-2</v>
      </c>
      <c r="Z19" s="21">
        <f>Y19/(B19-V19*Additional!$B$21)</f>
        <v>2.9294989042976083E-4</v>
      </c>
      <c r="AA19" s="5">
        <f t="shared" si="6"/>
        <v>0</v>
      </c>
      <c r="AB19" s="5">
        <f t="shared" si="7"/>
        <v>0</v>
      </c>
      <c r="AC19" s="5">
        <f t="shared" si="8"/>
        <v>0</v>
      </c>
      <c r="AD19" s="5">
        <f t="shared" si="9"/>
        <v>0</v>
      </c>
      <c r="AE19" s="5">
        <f t="shared" si="10"/>
        <v>3</v>
      </c>
      <c r="AF19" s="5">
        <f t="shared" si="11"/>
        <v>0</v>
      </c>
      <c r="AG19" s="5">
        <f t="shared" si="12"/>
        <v>0</v>
      </c>
      <c r="AH19" s="5">
        <f t="shared" si="13"/>
        <v>0</v>
      </c>
      <c r="AI19" s="5">
        <f t="shared" si="14"/>
        <v>0</v>
      </c>
      <c r="AJ19" s="5">
        <f t="shared" si="15"/>
        <v>0</v>
      </c>
      <c r="AK19" s="5">
        <f t="shared" si="16"/>
        <v>4</v>
      </c>
      <c r="AL19" s="5">
        <f t="shared" si="20"/>
        <v>0</v>
      </c>
    </row>
    <row r="20" spans="2:38" x14ac:dyDescent="0.2">
      <c r="C20" s="30" t="s">
        <v>81</v>
      </c>
      <c r="D20" s="2">
        <f>SUM(D16:D19)</f>
        <v>328501</v>
      </c>
      <c r="G20" s="7">
        <f>SUM(G15:G19)</f>
        <v>1.3140831421934467E-2</v>
      </c>
      <c r="H20" s="21">
        <f>SUM(H15:H19)</f>
        <v>2.7740228982488535</v>
      </c>
      <c r="I20" s="92">
        <f>SUM(I15:I19)</f>
        <v>1</v>
      </c>
      <c r="J20" s="21" t="s">
        <v>39</v>
      </c>
      <c r="K20" s="27">
        <f>SUMPRODUCT($J17:$J19,K17:K19)</f>
        <v>6.6027337948993368E-3</v>
      </c>
      <c r="L20" s="27">
        <f t="shared" ref="L20:V20" si="25">SUMPRODUCT($J17:$J19,L17:L19)</f>
        <v>5.8697529924943884E-7</v>
      </c>
      <c r="M20" s="27">
        <f t="shared" si="25"/>
        <v>2.2446803992461597E-5</v>
      </c>
      <c r="N20" s="27">
        <f t="shared" si="25"/>
        <v>1.0040855075151429E-6</v>
      </c>
      <c r="O20" s="27">
        <f t="shared" si="25"/>
        <v>1.4094028434038269E-3</v>
      </c>
      <c r="P20" s="27">
        <f t="shared" si="25"/>
        <v>1.0375423223633617E-2</v>
      </c>
      <c r="Q20" s="27">
        <f t="shared" si="25"/>
        <v>1.3830394680124284E-5</v>
      </c>
      <c r="R20" s="27">
        <f t="shared" si="25"/>
        <v>6.152630906101158E-6</v>
      </c>
      <c r="S20" s="27">
        <f t="shared" si="25"/>
        <v>9.9610433025060952E-6</v>
      </c>
      <c r="T20" s="27">
        <f t="shared" si="25"/>
        <v>1.5253683924244609E-6</v>
      </c>
      <c r="U20" s="27">
        <f t="shared" si="25"/>
        <v>2.5322892545073899E-2</v>
      </c>
      <c r="V20" s="27">
        <f t="shared" si="25"/>
        <v>4.2496544382900781E-3</v>
      </c>
      <c r="X20" s="92">
        <f>SUM(X17:X19)</f>
        <v>0.92344247529420409</v>
      </c>
      <c r="Y20" s="92">
        <f>SUM(Y17:Y19)</f>
        <v>1</v>
      </c>
      <c r="Z20" s="21" t="s">
        <v>97</v>
      </c>
      <c r="AA20" s="170">
        <f>SUMPRODUCT($Z17:$Z19,AA17:AA19)</f>
        <v>7.150130053088297E-3</v>
      </c>
      <c r="AB20" s="170">
        <f t="shared" ref="AB20:AL20" si="26">SUMPRODUCT($Z17:$Z19,AB17:AB19)</f>
        <v>6.3563818532652127E-7</v>
      </c>
      <c r="AC20" s="170">
        <f t="shared" si="26"/>
        <v>2.4307744762672042E-5</v>
      </c>
      <c r="AD20" s="170">
        <f t="shared" si="26"/>
        <v>1.08732870143887E-6</v>
      </c>
      <c r="AE20" s="170">
        <f t="shared" si="26"/>
        <v>1.5262486631393017E-3</v>
      </c>
      <c r="AF20" s="170">
        <f t="shared" si="26"/>
        <v>1.1235592363593689E-2</v>
      </c>
      <c r="AG20" s="170">
        <f t="shared" si="26"/>
        <v>1.4976996456349908E-5</v>
      </c>
      <c r="AH20" s="170">
        <f t="shared" si="26"/>
        <v>6.6627116151885488E-6</v>
      </c>
      <c r="AI20" s="170">
        <f t="shared" si="26"/>
        <v>1.0786858487674129E-5</v>
      </c>
      <c r="AJ20" s="170">
        <f t="shared" si="26"/>
        <v>1.6518282765133647E-6</v>
      </c>
      <c r="AK20" s="170">
        <f t="shared" si="26"/>
        <v>2.7422273961359801E-2</v>
      </c>
      <c r="AL20" s="170">
        <f t="shared" si="26"/>
        <v>0</v>
      </c>
    </row>
    <row r="21" spans="2:38" x14ac:dyDescent="0.2">
      <c r="G21" s="7"/>
      <c r="H21" s="21"/>
      <c r="I21" s="92"/>
      <c r="J21" s="21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Z21" s="21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</row>
    <row r="22" spans="2:38" ht="16" thickBot="1" x14ac:dyDescent="0.25">
      <c r="C22" s="28" t="s">
        <v>7</v>
      </c>
      <c r="D22" s="130" t="s">
        <v>186</v>
      </c>
      <c r="E22" s="41">
        <f>E23-F23/100*E23</f>
        <v>16</v>
      </c>
      <c r="G22" s="7"/>
      <c r="H22" s="21"/>
      <c r="I22" s="92"/>
      <c r="J22" s="21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Z22" s="21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</row>
    <row r="23" spans="2:38" ht="16" thickBot="1" x14ac:dyDescent="0.25">
      <c r="C23" t="s">
        <v>192</v>
      </c>
      <c r="D23" s="2">
        <v>152346</v>
      </c>
      <c r="E23" s="42">
        <f>D23/D$27*100</f>
        <v>45.176499893246032</v>
      </c>
      <c r="F23" s="35">
        <v>64.583356307353</v>
      </c>
      <c r="G23" s="91" t="s">
        <v>128</v>
      </c>
      <c r="H23" s="21"/>
      <c r="I23" s="92"/>
      <c r="J23" s="21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Z23" s="21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2:38" x14ac:dyDescent="0.2">
      <c r="B24" s="6">
        <f>Additional!D6</f>
        <v>146.55318386313746</v>
      </c>
      <c r="C24" s="29" t="s">
        <v>1</v>
      </c>
      <c r="D24" s="2">
        <v>75517</v>
      </c>
      <c r="E24" s="41">
        <f>D24/D$27*100+F23/100*E23</f>
        <v>51.570220387635516</v>
      </c>
      <c r="F24" s="5">
        <f>F17</f>
        <v>44.025483049649139</v>
      </c>
      <c r="G24" s="7">
        <f t="shared" si="1"/>
        <v>1.171372051261264E-2</v>
      </c>
      <c r="H24" s="21">
        <f t="shared" si="2"/>
        <v>1.716683036006325</v>
      </c>
      <c r="I24" s="92">
        <f>1/H$27*H24</f>
        <v>0.65738154851082431</v>
      </c>
      <c r="J24" s="21">
        <f t="shared" si="4"/>
        <v>4.4856176521196386E-3</v>
      </c>
      <c r="K24" s="25">
        <f>K17</f>
        <v>0.99857026424627093</v>
      </c>
      <c r="L24" s="25">
        <f t="shared" ref="L24:U24" si="27">L17</f>
        <v>1.0990369323650568E-4</v>
      </c>
      <c r="M24" s="25">
        <f t="shared" si="27"/>
        <v>4.878582991249243E-4</v>
      </c>
      <c r="N24" s="25">
        <f t="shared" si="27"/>
        <v>2.6337639207643773E-4</v>
      </c>
      <c r="O24" s="25">
        <f t="shared" si="27"/>
        <v>0.18080795473308686</v>
      </c>
      <c r="P24" s="25">
        <f t="shared" si="27"/>
        <v>1.8155169739887416</v>
      </c>
      <c r="Q24" s="25">
        <f t="shared" si="27"/>
        <v>3.096351427492748E-3</v>
      </c>
      <c r="R24" s="25">
        <f t="shared" si="27"/>
        <v>1.8497795635051531E-3</v>
      </c>
      <c r="S24" s="25">
        <f t="shared" si="27"/>
        <v>3.903047748392106E-4</v>
      </c>
      <c r="T24" s="25">
        <f t="shared" si="27"/>
        <v>9.3199967874282619E-5</v>
      </c>
      <c r="U24" s="25">
        <f t="shared" si="27"/>
        <v>4</v>
      </c>
      <c r="V24" s="25">
        <v>0</v>
      </c>
      <c r="X24" s="92">
        <f>I24-V24*Additional!$B$21/B24*I24</f>
        <v>0.65738154851082431</v>
      </c>
      <c r="Y24" s="92">
        <f>1/X$27*X24</f>
        <v>0.68669720322112271</v>
      </c>
      <c r="Z24" s="21">
        <f>Y24/(B24-V24*Additional!$B$21)</f>
        <v>4.6856518918238785E-3</v>
      </c>
      <c r="AA24" s="5">
        <f t="shared" si="6"/>
        <v>0.99857026424627093</v>
      </c>
      <c r="AB24" s="5">
        <f t="shared" si="7"/>
        <v>1.0990369323650568E-4</v>
      </c>
      <c r="AC24" s="5">
        <f t="shared" si="8"/>
        <v>4.878582991249243E-4</v>
      </c>
      <c r="AD24" s="5">
        <f t="shared" si="9"/>
        <v>2.6337639207643773E-4</v>
      </c>
      <c r="AE24" s="5">
        <f t="shared" si="10"/>
        <v>0.18080795473308686</v>
      </c>
      <c r="AF24" s="5">
        <f t="shared" si="11"/>
        <v>1.8155169739887416</v>
      </c>
      <c r="AG24" s="5">
        <f t="shared" si="12"/>
        <v>3.096351427492748E-3</v>
      </c>
      <c r="AH24" s="5">
        <f t="shared" si="13"/>
        <v>1.8497795635051531E-3</v>
      </c>
      <c r="AI24" s="5">
        <f t="shared" si="14"/>
        <v>3.903047748392106E-4</v>
      </c>
      <c r="AJ24" s="5">
        <f t="shared" si="15"/>
        <v>9.3199967874282619E-5</v>
      </c>
      <c r="AK24" s="5">
        <f t="shared" si="16"/>
        <v>4</v>
      </c>
      <c r="AL24" s="5">
        <f t="shared" si="20"/>
        <v>0</v>
      </c>
    </row>
    <row r="25" spans="2:38" x14ac:dyDescent="0.2">
      <c r="B25" s="6">
        <f>Additional!G6</f>
        <v>568.18640431513654</v>
      </c>
      <c r="C25" s="29" t="s">
        <v>9</v>
      </c>
      <c r="D25" s="2">
        <v>108344</v>
      </c>
      <c r="E25" s="41">
        <f>D25/D$27*100</f>
        <v>32.128199653642682</v>
      </c>
      <c r="F25" s="5">
        <f>Additional!G5</f>
        <v>207.66998097174971</v>
      </c>
      <c r="G25" s="7">
        <f t="shared" si="1"/>
        <v>1.5470796262081435E-3</v>
      </c>
      <c r="H25" s="21">
        <f t="shared" si="2"/>
        <v>0.8790296100044106</v>
      </c>
      <c r="I25" s="92">
        <f t="shared" ref="I25:I26" si="28">1/H$27*H25</f>
        <v>0.33661301130806792</v>
      </c>
      <c r="J25" s="21">
        <f t="shared" si="4"/>
        <v>5.924341180141478E-4</v>
      </c>
      <c r="K25" s="23">
        <v>3.3478339647721413</v>
      </c>
      <c r="L25" s="23">
        <v>2.8518218679689873E-4</v>
      </c>
      <c r="M25" s="23">
        <v>1.5140260269127097</v>
      </c>
      <c r="N25" s="23">
        <v>1.1846742753447064E-3</v>
      </c>
      <c r="O25" s="23">
        <v>0.44216870009811865</v>
      </c>
      <c r="P25" s="23">
        <v>4.5402943448536917</v>
      </c>
      <c r="Q25" s="23">
        <v>8.4670638041581224E-3</v>
      </c>
      <c r="R25" s="23">
        <v>3.2649525516076104E-2</v>
      </c>
      <c r="S25" s="23">
        <v>1.2610860851833133E-2</v>
      </c>
      <c r="T25" s="23">
        <v>2.1211792041599298E-3</v>
      </c>
      <c r="U25" s="23">
        <v>14</v>
      </c>
      <c r="V25" s="25">
        <v>4</v>
      </c>
      <c r="X25" s="92">
        <f>I25-V25*Additional!$B$21/B25*I25</f>
        <v>0.29392220876396841</v>
      </c>
      <c r="Y25" s="92">
        <f t="shared" ref="Y25:Y26" si="29">1/X$27*X25</f>
        <v>0.30702954650919695</v>
      </c>
      <c r="Z25" s="21">
        <f>Y25/(B25-V25*Additional!$B$21)</f>
        <v>6.1885346927468426E-4</v>
      </c>
      <c r="AA25" s="5">
        <f t="shared" si="6"/>
        <v>3.3478339647721413</v>
      </c>
      <c r="AB25" s="5">
        <f t="shared" si="7"/>
        <v>2.8518218679689873E-4</v>
      </c>
      <c r="AC25" s="5">
        <f t="shared" si="8"/>
        <v>1.5140260269127097</v>
      </c>
      <c r="AD25" s="5">
        <f t="shared" si="9"/>
        <v>1.1846742753447064E-3</v>
      </c>
      <c r="AE25" s="5">
        <f t="shared" si="10"/>
        <v>0.44216870009811865</v>
      </c>
      <c r="AF25" s="5">
        <f t="shared" si="11"/>
        <v>4.5402943448536917</v>
      </c>
      <c r="AG25" s="5">
        <f t="shared" si="12"/>
        <v>8.4670638041581224E-3</v>
      </c>
      <c r="AH25" s="5">
        <f t="shared" si="13"/>
        <v>3.2649525516076104E-2</v>
      </c>
      <c r="AI25" s="5">
        <f t="shared" si="14"/>
        <v>1.2610860851833133E-2</v>
      </c>
      <c r="AJ25" s="5">
        <f t="shared" si="15"/>
        <v>2.1211792041599298E-3</v>
      </c>
      <c r="AK25" s="5">
        <f t="shared" si="16"/>
        <v>14</v>
      </c>
      <c r="AL25" s="169">
        <v>0</v>
      </c>
    </row>
    <row r="26" spans="2:38" x14ac:dyDescent="0.2">
      <c r="B26" s="6">
        <f>Additional!J6</f>
        <v>231.53100000000001</v>
      </c>
      <c r="C26" s="29" t="s">
        <v>3</v>
      </c>
      <c r="D26" s="2">
        <v>1017</v>
      </c>
      <c r="E26" s="41">
        <f>D26/D$27*100</f>
        <v>0.30157995872179916</v>
      </c>
      <c r="F26" s="5">
        <f>F19</f>
        <v>44.524000000000001</v>
      </c>
      <c r="G26" s="7">
        <f t="shared" si="1"/>
        <v>6.7734246411328529E-5</v>
      </c>
      <c r="H26" s="21">
        <f t="shared" si="2"/>
        <v>1.5682577805861304E-2</v>
      </c>
      <c r="I26" s="92">
        <f t="shared" si="28"/>
        <v>6.0054401811078456E-3</v>
      </c>
      <c r="J26" s="21">
        <f t="shared" si="4"/>
        <v>2.5937952935493931E-5</v>
      </c>
      <c r="K26" s="25">
        <f>K19</f>
        <v>0</v>
      </c>
      <c r="L26" s="25">
        <f t="shared" ref="L26:U26" si="30">L19</f>
        <v>0</v>
      </c>
      <c r="M26" s="25">
        <f t="shared" si="30"/>
        <v>0</v>
      </c>
      <c r="N26" s="25">
        <f t="shared" si="30"/>
        <v>0</v>
      </c>
      <c r="O26" s="25">
        <f t="shared" si="30"/>
        <v>3</v>
      </c>
      <c r="P26" s="25">
        <f t="shared" si="30"/>
        <v>0</v>
      </c>
      <c r="Q26" s="25">
        <f t="shared" si="30"/>
        <v>0</v>
      </c>
      <c r="R26" s="25">
        <f t="shared" si="30"/>
        <v>0</v>
      </c>
      <c r="S26" s="25">
        <f t="shared" si="30"/>
        <v>0</v>
      </c>
      <c r="T26" s="25">
        <f t="shared" si="30"/>
        <v>0</v>
      </c>
      <c r="U26" s="25">
        <f t="shared" si="30"/>
        <v>4</v>
      </c>
      <c r="V26" s="25">
        <v>0</v>
      </c>
      <c r="X26" s="92">
        <f>I26-V26*Additional!$B$21/B26*I26</f>
        <v>6.0054401811078456E-3</v>
      </c>
      <c r="Y26" s="92">
        <f t="shared" si="29"/>
        <v>6.2732502696804951E-3</v>
      </c>
      <c r="Z26" s="21">
        <f>Y26/(B26-V26*Additional!$B$21)</f>
        <v>2.7094645078544535E-5</v>
      </c>
      <c r="AA26" s="5">
        <f t="shared" si="6"/>
        <v>0</v>
      </c>
      <c r="AB26" s="5">
        <f t="shared" si="7"/>
        <v>0</v>
      </c>
      <c r="AC26" s="5">
        <f t="shared" si="8"/>
        <v>0</v>
      </c>
      <c r="AD26" s="5">
        <f t="shared" si="9"/>
        <v>0</v>
      </c>
      <c r="AE26" s="5">
        <f t="shared" si="10"/>
        <v>3</v>
      </c>
      <c r="AF26" s="5">
        <f t="shared" si="11"/>
        <v>0</v>
      </c>
      <c r="AG26" s="5">
        <f t="shared" si="12"/>
        <v>0</v>
      </c>
      <c r="AH26" s="5">
        <f t="shared" si="13"/>
        <v>0</v>
      </c>
      <c r="AI26" s="5">
        <f t="shared" si="14"/>
        <v>0</v>
      </c>
      <c r="AJ26" s="5">
        <f t="shared" si="15"/>
        <v>0</v>
      </c>
      <c r="AK26" s="5">
        <f t="shared" si="16"/>
        <v>4</v>
      </c>
      <c r="AL26" s="5">
        <f t="shared" si="20"/>
        <v>0</v>
      </c>
    </row>
    <row r="27" spans="2:38" x14ac:dyDescent="0.2">
      <c r="C27" s="30" t="s">
        <v>81</v>
      </c>
      <c r="D27" s="2">
        <f>SUM(D23:D26)</f>
        <v>337224</v>
      </c>
      <c r="G27" s="7">
        <f>SUM(G22:G26)</f>
        <v>1.3328534385232113E-2</v>
      </c>
      <c r="H27" s="21">
        <f>SUM(H22:H26)</f>
        <v>2.6113952238165967</v>
      </c>
      <c r="I27" s="92">
        <f>SUM(I22:I26)</f>
        <v>1</v>
      </c>
      <c r="J27" s="21" t="s">
        <v>39</v>
      </c>
      <c r="K27" s="27">
        <f>SUMPRODUCT($J24:$J26,K24:K26)</f>
        <v>6.4625754663624364E-3</v>
      </c>
      <c r="L27" s="27">
        <f t="shared" ref="L27:V27" si="31">SUMPRODUCT($J24:$J26,L24:L26)</f>
        <v>6.619376037231783E-7</v>
      </c>
      <c r="M27" s="27">
        <f t="shared" si="31"/>
        <v>8.9914901970278348E-4</v>
      </c>
      <c r="N27" s="27">
        <f t="shared" si="31"/>
        <v>1.8832472528975429E-6</v>
      </c>
      <c r="O27" s="27">
        <f t="shared" si="31"/>
        <v>1.150805036056956E-3</v>
      </c>
      <c r="P27" s="27">
        <f t="shared" si="31"/>
        <v>1.0833540261964749E-2</v>
      </c>
      <c r="Q27" s="27">
        <f t="shared" si="31"/>
        <v>1.8905226097313245E-5</v>
      </c>
      <c r="R27" s="27">
        <f t="shared" si="31"/>
        <v>2.7640096715285835E-5</v>
      </c>
      <c r="S27" s="27">
        <f t="shared" si="31"/>
        <v>9.2218622138802508E-6</v>
      </c>
      <c r="T27" s="27">
        <f t="shared" si="31"/>
        <v>1.6747183520403051E-6</v>
      </c>
      <c r="U27" s="27">
        <f t="shared" si="31"/>
        <v>2.6340300072418599E-2</v>
      </c>
      <c r="V27" s="27">
        <f t="shared" si="31"/>
        <v>2.3697364720565912E-3</v>
      </c>
      <c r="X27" s="92">
        <f>SUM(X24:X26)</f>
        <v>0.95730919745590048</v>
      </c>
      <c r="Y27" s="92">
        <f>SUM(Y24:Y26)</f>
        <v>1.0000000000000002</v>
      </c>
      <c r="Z27" s="21" t="s">
        <v>97</v>
      </c>
      <c r="AA27" s="170">
        <f>SUMPRODUCT($Z24:$Z26,AA24:AA26)</f>
        <v>6.7507713114394706E-3</v>
      </c>
      <c r="AB27" s="170">
        <f t="shared" ref="AB27:AL27" si="32">SUMPRODUCT($Z24:$Z26,AB24:AB26)</f>
        <v>6.914564338066659E-7</v>
      </c>
      <c r="AC27" s="170">
        <f t="shared" si="32"/>
        <v>9.3924619348933363E-4</v>
      </c>
      <c r="AD27" s="170">
        <f t="shared" si="32"/>
        <v>1.9672298750522522E-6</v>
      </c>
      <c r="AE27" s="170">
        <f t="shared" si="32"/>
        <v>1.2021247044479264E-3</v>
      </c>
      <c r="AF27" s="170">
        <f t="shared" si="32"/>
        <v>1.1316657450649647E-2</v>
      </c>
      <c r="AG27" s="170">
        <f t="shared" si="32"/>
        <v>1.9748296733756322E-5</v>
      </c>
      <c r="AH27" s="170">
        <f t="shared" si="32"/>
        <v>2.8872695246991093E-5</v>
      </c>
      <c r="AI27" s="170">
        <f t="shared" si="32"/>
        <v>9.6331072953104732E-6</v>
      </c>
      <c r="AJ27" s="170">
        <f t="shared" si="32"/>
        <v>1.7494017152357434E-6</v>
      </c>
      <c r="AK27" s="170">
        <f t="shared" si="32"/>
        <v>2.7514934717455274E-2</v>
      </c>
      <c r="AL27" s="170">
        <f t="shared" si="32"/>
        <v>0</v>
      </c>
    </row>
    <row r="28" spans="2:38" x14ac:dyDescent="0.2">
      <c r="G28" s="7"/>
      <c r="H28" s="21"/>
      <c r="I28" s="92"/>
      <c r="J28" s="21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Z28" s="21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2:38" ht="16" thickBot="1" x14ac:dyDescent="0.25">
      <c r="C29" s="28" t="s">
        <v>11</v>
      </c>
      <c r="D29" s="130" t="s">
        <v>186</v>
      </c>
      <c r="E29" s="166">
        <f>E30-F30/100*E30</f>
        <v>9.3703346721842333</v>
      </c>
      <c r="G29" s="7"/>
      <c r="H29" s="21"/>
      <c r="I29" s="92"/>
      <c r="J29" s="21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Z29" s="21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2:38" ht="16" thickBot="1" x14ac:dyDescent="0.25">
      <c r="C30" t="s">
        <v>192</v>
      </c>
      <c r="D30" s="2">
        <v>30818</v>
      </c>
      <c r="E30" s="42">
        <f>D30/D$35*100</f>
        <v>9.3703346721842333</v>
      </c>
      <c r="F30" s="35">
        <v>0</v>
      </c>
      <c r="G30" s="91" t="s">
        <v>129</v>
      </c>
      <c r="H30" s="21"/>
      <c r="I30" s="92"/>
      <c r="J30" s="21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Z30" s="21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  <row r="31" spans="2:38" x14ac:dyDescent="0.2">
      <c r="B31" s="6">
        <f>Additional!D6</f>
        <v>146.55318386313746</v>
      </c>
      <c r="C31" s="29" t="s">
        <v>1</v>
      </c>
      <c r="D31" s="2">
        <v>29280</v>
      </c>
      <c r="E31" s="41">
        <f>D31/D$35*100+F30/100*E30</f>
        <v>8.9026996950338866</v>
      </c>
      <c r="F31" s="5">
        <f>F24</f>
        <v>44.025483049649139</v>
      </c>
      <c r="G31" s="7">
        <f t="shared" si="1"/>
        <v>2.0221696795453643E-3</v>
      </c>
      <c r="H31" s="21">
        <f t="shared" si="2"/>
        <v>0.29635540484887352</v>
      </c>
      <c r="I31" s="92">
        <f>1/H$35*H31</f>
        <v>0.11621040752033175</v>
      </c>
      <c r="J31" s="21">
        <f t="shared" si="4"/>
        <v>7.9295723543514344E-4</v>
      </c>
      <c r="K31" s="25">
        <f>K24</f>
        <v>0.99857026424627093</v>
      </c>
      <c r="L31" s="25">
        <f t="shared" ref="L31:U31" si="33">L24</f>
        <v>1.0990369323650568E-4</v>
      </c>
      <c r="M31" s="25">
        <f t="shared" si="33"/>
        <v>4.878582991249243E-4</v>
      </c>
      <c r="N31" s="25">
        <f t="shared" si="33"/>
        <v>2.6337639207643773E-4</v>
      </c>
      <c r="O31" s="25">
        <f t="shared" si="33"/>
        <v>0.18080795473308686</v>
      </c>
      <c r="P31" s="25">
        <f t="shared" si="33"/>
        <v>1.8155169739887416</v>
      </c>
      <c r="Q31" s="25">
        <f t="shared" si="33"/>
        <v>3.096351427492748E-3</v>
      </c>
      <c r="R31" s="25">
        <f t="shared" si="33"/>
        <v>1.8497795635051531E-3</v>
      </c>
      <c r="S31" s="25">
        <f t="shared" si="33"/>
        <v>3.903047748392106E-4</v>
      </c>
      <c r="T31" s="25">
        <f t="shared" si="33"/>
        <v>9.3199967874282619E-5</v>
      </c>
      <c r="U31" s="25">
        <f t="shared" si="33"/>
        <v>4</v>
      </c>
      <c r="V31" s="25">
        <v>0</v>
      </c>
      <c r="X31" s="92">
        <f>I31-V31*Additional!$B$21/B31*I31</f>
        <v>0.11621040752033175</v>
      </c>
      <c r="Y31" s="92">
        <f>1/X$35*X31</f>
        <v>0.12721876060829443</v>
      </c>
      <c r="Z31" s="21">
        <f>Y31/(B31-V31*Additional!$B$21)</f>
        <v>8.6807230832392564E-4</v>
      </c>
      <c r="AA31" s="5">
        <f t="shared" si="6"/>
        <v>0.99857026424627093</v>
      </c>
      <c r="AB31" s="5">
        <f t="shared" si="7"/>
        <v>1.0990369323650568E-4</v>
      </c>
      <c r="AC31" s="5">
        <f t="shared" si="8"/>
        <v>4.878582991249243E-4</v>
      </c>
      <c r="AD31" s="5">
        <f t="shared" si="9"/>
        <v>2.6337639207643773E-4</v>
      </c>
      <c r="AE31" s="5">
        <f t="shared" si="10"/>
        <v>0.18080795473308686</v>
      </c>
      <c r="AF31" s="5">
        <f t="shared" si="11"/>
        <v>1.8155169739887416</v>
      </c>
      <c r="AG31" s="5">
        <f t="shared" si="12"/>
        <v>3.096351427492748E-3</v>
      </c>
      <c r="AH31" s="5">
        <f t="shared" si="13"/>
        <v>1.8497795635051531E-3</v>
      </c>
      <c r="AI31" s="5">
        <f t="shared" si="14"/>
        <v>3.903047748392106E-4</v>
      </c>
      <c r="AJ31" s="5">
        <f t="shared" si="15"/>
        <v>9.3199967874282619E-5</v>
      </c>
      <c r="AK31" s="5">
        <f t="shared" si="16"/>
        <v>4</v>
      </c>
      <c r="AL31" s="5">
        <f t="shared" si="20"/>
        <v>0</v>
      </c>
    </row>
    <row r="32" spans="2:38" x14ac:dyDescent="0.2">
      <c r="B32" s="6">
        <f>Additional!G6</f>
        <v>568.18640431513654</v>
      </c>
      <c r="C32" s="29" t="s">
        <v>9</v>
      </c>
      <c r="D32" s="2">
        <v>194106</v>
      </c>
      <c r="E32" s="41">
        <f>D32/D$35*100</f>
        <v>59.018696277467477</v>
      </c>
      <c r="F32" s="5">
        <f>F25</f>
        <v>207.66998097174971</v>
      </c>
      <c r="G32" s="7">
        <f t="shared" si="1"/>
        <v>2.8419464383490295E-3</v>
      </c>
      <c r="H32" s="21">
        <f t="shared" si="2"/>
        <v>1.6147553280617439</v>
      </c>
      <c r="I32" s="92">
        <f t="shared" ref="I32:I34" si="34">1/H$35*H32</f>
        <v>0.63319707233068723</v>
      </c>
      <c r="J32" s="21">
        <f t="shared" si="4"/>
        <v>1.1144178521728468E-3</v>
      </c>
      <c r="K32" s="25">
        <f>K25</f>
        <v>3.3478339647721413</v>
      </c>
      <c r="L32" s="25">
        <f t="shared" ref="L32:U32" si="35">L25</f>
        <v>2.8518218679689873E-4</v>
      </c>
      <c r="M32" s="25">
        <f t="shared" si="35"/>
        <v>1.5140260269127097</v>
      </c>
      <c r="N32" s="25">
        <f t="shared" si="35"/>
        <v>1.1846742753447064E-3</v>
      </c>
      <c r="O32" s="25">
        <f t="shared" si="35"/>
        <v>0.44216870009811865</v>
      </c>
      <c r="P32" s="25">
        <f t="shared" si="35"/>
        <v>4.5402943448536917</v>
      </c>
      <c r="Q32" s="25">
        <f t="shared" si="35"/>
        <v>8.4670638041581224E-3</v>
      </c>
      <c r="R32" s="25">
        <f t="shared" si="35"/>
        <v>3.2649525516076104E-2</v>
      </c>
      <c r="S32" s="25">
        <f t="shared" si="35"/>
        <v>1.2610860851833133E-2</v>
      </c>
      <c r="T32" s="25">
        <f t="shared" si="35"/>
        <v>2.1211792041599298E-3</v>
      </c>
      <c r="U32" s="25">
        <f t="shared" si="35"/>
        <v>14</v>
      </c>
      <c r="V32" s="25">
        <v>4</v>
      </c>
      <c r="X32" s="92">
        <f>I32-V32*Additional!$B$21/B32*I32</f>
        <v>0.55289212190311188</v>
      </c>
      <c r="Y32" s="92">
        <f t="shared" ref="Y32:Y34" si="36">1/X$35*X32</f>
        <v>0.60526636124477751</v>
      </c>
      <c r="Z32" s="21">
        <f>Y32/(B32-V32*Additional!$B$21)</f>
        <v>1.219984173348524E-3</v>
      </c>
      <c r="AA32" s="5">
        <f t="shared" si="6"/>
        <v>3.3478339647721413</v>
      </c>
      <c r="AB32" s="5">
        <f t="shared" si="7"/>
        <v>2.8518218679689873E-4</v>
      </c>
      <c r="AC32" s="5">
        <f t="shared" si="8"/>
        <v>1.5140260269127097</v>
      </c>
      <c r="AD32" s="5">
        <f t="shared" si="9"/>
        <v>1.1846742753447064E-3</v>
      </c>
      <c r="AE32" s="5">
        <f t="shared" si="10"/>
        <v>0.44216870009811865</v>
      </c>
      <c r="AF32" s="5">
        <f t="shared" si="11"/>
        <v>4.5402943448536917</v>
      </c>
      <c r="AG32" s="5">
        <f t="shared" si="12"/>
        <v>8.4670638041581224E-3</v>
      </c>
      <c r="AH32" s="5">
        <f t="shared" si="13"/>
        <v>3.2649525516076104E-2</v>
      </c>
      <c r="AI32" s="5">
        <f t="shared" si="14"/>
        <v>1.2610860851833133E-2</v>
      </c>
      <c r="AJ32" s="5">
        <f t="shared" si="15"/>
        <v>2.1211792041599298E-3</v>
      </c>
      <c r="AK32" s="5">
        <f t="shared" si="16"/>
        <v>14</v>
      </c>
      <c r="AL32" s="169">
        <v>0</v>
      </c>
    </row>
    <row r="33" spans="1:38" x14ac:dyDescent="0.2">
      <c r="B33" s="6">
        <f>Additional!I6</f>
        <v>721.15196654272188</v>
      </c>
      <c r="C33" s="29" t="s">
        <v>12</v>
      </c>
      <c r="D33" s="2">
        <v>74465</v>
      </c>
      <c r="E33" s="41">
        <f>D33/D$35*100</f>
        <v>22.641377486021121</v>
      </c>
      <c r="F33" s="5">
        <f>Additional!I5</f>
        <v>256.89999999999998</v>
      </c>
      <c r="G33" s="7">
        <f t="shared" si="1"/>
        <v>8.8133038092725279E-4</v>
      </c>
      <c r="H33" s="21">
        <f t="shared" si="2"/>
        <v>0.63557313737953458</v>
      </c>
      <c r="I33" s="92">
        <f t="shared" si="34"/>
        <v>0.24922850096665702</v>
      </c>
      <c r="J33" s="21">
        <f t="shared" si="4"/>
        <v>3.455977554377125E-4</v>
      </c>
      <c r="K33" s="24">
        <v>5.6510765177962323</v>
      </c>
      <c r="L33" s="24">
        <v>6.4213021303649565E-4</v>
      </c>
      <c r="M33" s="24">
        <v>0.3879627522179091</v>
      </c>
      <c r="N33" s="24">
        <v>4.5019598076089889E-4</v>
      </c>
      <c r="O33" s="24">
        <v>6.3601526613318971E-2</v>
      </c>
      <c r="P33" s="24">
        <v>1.3526478497925648E-2</v>
      </c>
      <c r="Q33" s="24">
        <v>4.0774167506375204E-3</v>
      </c>
      <c r="R33" s="24">
        <v>6.027335422848477</v>
      </c>
      <c r="S33" s="24">
        <v>1.0421338873234973E-2</v>
      </c>
      <c r="T33" s="24">
        <v>3.8353507296010525E-4</v>
      </c>
      <c r="U33" s="24">
        <v>18</v>
      </c>
      <c r="V33" s="25">
        <v>1</v>
      </c>
      <c r="X33" s="92">
        <f>I33-V33*Additional!$B$21/B33*I33</f>
        <v>0.24300255740244664</v>
      </c>
      <c r="Y33" s="92">
        <f t="shared" si="36"/>
        <v>0.26602164846531923</v>
      </c>
      <c r="Z33" s="21">
        <f>Y33/(B33-V33*Additional!$B$21)</f>
        <v>3.7833546111695727E-4</v>
      </c>
      <c r="AA33" s="5">
        <f t="shared" si="6"/>
        <v>5.6510765177962323</v>
      </c>
      <c r="AB33" s="5">
        <f t="shared" si="7"/>
        <v>6.4213021303649565E-4</v>
      </c>
      <c r="AC33" s="5">
        <f t="shared" si="8"/>
        <v>0.3879627522179091</v>
      </c>
      <c r="AD33" s="5">
        <f t="shared" si="9"/>
        <v>4.5019598076089889E-4</v>
      </c>
      <c r="AE33" s="5">
        <f t="shared" si="10"/>
        <v>6.3601526613318971E-2</v>
      </c>
      <c r="AF33" s="5">
        <f t="shared" si="11"/>
        <v>1.3526478497925648E-2</v>
      </c>
      <c r="AG33" s="5">
        <f t="shared" si="12"/>
        <v>4.0774167506375204E-3</v>
      </c>
      <c r="AH33" s="5">
        <f t="shared" si="13"/>
        <v>6.027335422848477</v>
      </c>
      <c r="AI33" s="5">
        <f t="shared" si="14"/>
        <v>1.0421338873234973E-2</v>
      </c>
      <c r="AJ33" s="5">
        <f t="shared" si="15"/>
        <v>3.8353507296010525E-4</v>
      </c>
      <c r="AK33" s="5">
        <f t="shared" si="16"/>
        <v>18</v>
      </c>
      <c r="AL33" s="169">
        <v>0</v>
      </c>
    </row>
    <row r="34" spans="1:38" x14ac:dyDescent="0.2">
      <c r="B34" s="6">
        <f>Additional!J6</f>
        <v>231.53100000000001</v>
      </c>
      <c r="C34" s="29" t="s">
        <v>3</v>
      </c>
      <c r="D34" s="2">
        <v>220</v>
      </c>
      <c r="E34" s="41">
        <f>D34/D$35*100</f>
        <v>6.6891869293287401E-2</v>
      </c>
      <c r="F34" s="5">
        <f>F26</f>
        <v>44.524000000000001</v>
      </c>
      <c r="G34" s="7">
        <f t="shared" si="1"/>
        <v>1.5023778028318974E-5</v>
      </c>
      <c r="H34" s="21">
        <f t="shared" si="2"/>
        <v>3.4784703506747206E-3</v>
      </c>
      <c r="I34" s="92">
        <f t="shared" si="34"/>
        <v>1.3640191823241421E-3</v>
      </c>
      <c r="J34" s="21">
        <f t="shared" si="4"/>
        <v>5.8913026001880616E-6</v>
      </c>
      <c r="K34" s="25">
        <f>K26</f>
        <v>0</v>
      </c>
      <c r="L34" s="25">
        <f t="shared" ref="L34:V34" si="37">L26</f>
        <v>0</v>
      </c>
      <c r="M34" s="25">
        <f t="shared" si="37"/>
        <v>0</v>
      </c>
      <c r="N34" s="25">
        <f t="shared" si="37"/>
        <v>0</v>
      </c>
      <c r="O34" s="25">
        <f t="shared" si="37"/>
        <v>3</v>
      </c>
      <c r="P34" s="25">
        <f t="shared" si="37"/>
        <v>0</v>
      </c>
      <c r="Q34" s="25">
        <f t="shared" si="37"/>
        <v>0</v>
      </c>
      <c r="R34" s="25">
        <f t="shared" si="37"/>
        <v>0</v>
      </c>
      <c r="S34" s="25">
        <f t="shared" si="37"/>
        <v>0</v>
      </c>
      <c r="T34" s="25">
        <f t="shared" si="37"/>
        <v>0</v>
      </c>
      <c r="U34" s="25">
        <f t="shared" si="37"/>
        <v>4</v>
      </c>
      <c r="V34" s="25">
        <f t="shared" si="37"/>
        <v>0</v>
      </c>
      <c r="X34" s="92">
        <f>I34-V34*Additional!$B$21/B34*I34</f>
        <v>1.3640191823241421E-3</v>
      </c>
      <c r="Y34" s="92">
        <f t="shared" si="36"/>
        <v>1.493229681608823E-3</v>
      </c>
      <c r="Z34" s="21">
        <f>Y34/(B34-V34*Additional!$B$21)</f>
        <v>6.4493725747689207E-6</v>
      </c>
      <c r="AA34" s="5">
        <f t="shared" si="6"/>
        <v>0</v>
      </c>
      <c r="AB34" s="5">
        <f t="shared" si="7"/>
        <v>0</v>
      </c>
      <c r="AC34" s="5">
        <f t="shared" si="8"/>
        <v>0</v>
      </c>
      <c r="AD34" s="5">
        <f t="shared" si="9"/>
        <v>0</v>
      </c>
      <c r="AE34" s="5">
        <f t="shared" si="10"/>
        <v>3</v>
      </c>
      <c r="AF34" s="5">
        <f t="shared" si="11"/>
        <v>0</v>
      </c>
      <c r="AG34" s="5">
        <f t="shared" si="12"/>
        <v>0</v>
      </c>
      <c r="AH34" s="5">
        <f t="shared" si="13"/>
        <v>0</v>
      </c>
      <c r="AI34" s="5">
        <f t="shared" si="14"/>
        <v>0</v>
      </c>
      <c r="AJ34" s="5">
        <f t="shared" si="15"/>
        <v>0</v>
      </c>
      <c r="AK34" s="5">
        <f t="shared" si="16"/>
        <v>4</v>
      </c>
      <c r="AL34" s="5">
        <f t="shared" si="20"/>
        <v>0</v>
      </c>
    </row>
    <row r="35" spans="1:38" x14ac:dyDescent="0.2">
      <c r="C35" s="30" t="s">
        <v>81</v>
      </c>
      <c r="D35" s="2">
        <f>SUM(D30:D34)</f>
        <v>328889</v>
      </c>
      <c r="G35" s="7">
        <f>SUM(G30:G34)</f>
        <v>5.7604702768499659E-3</v>
      </c>
      <c r="H35" s="21">
        <f>SUM(H30:H34)</f>
        <v>2.5501623406408265</v>
      </c>
      <c r="I35" s="92">
        <f>SUM(I30:I34)</f>
        <v>1.0000000000000002</v>
      </c>
      <c r="J35" s="21" t="s">
        <v>39</v>
      </c>
      <c r="K35" s="27">
        <f>SUMPRODUCT($J31:$J34,K31:K34)</f>
        <v>6.4757088129342817E-3</v>
      </c>
      <c r="L35" s="27">
        <f t="shared" ref="L35:V35" si="38">SUMPRODUCT($J31:$J34,L31:L34)</f>
        <v>6.2687980916524015E-7</v>
      </c>
      <c r="M35" s="27">
        <f t="shared" si="38"/>
        <v>1.8217235401739556E-3</v>
      </c>
      <c r="N35" s="27">
        <f t="shared" si="38"/>
        <v>1.6846550976519322E-6</v>
      </c>
      <c r="O35" s="27">
        <f t="shared" si="38"/>
        <v>6.7578812163177526E-4</v>
      </c>
      <c r="P35" s="27">
        <f t="shared" si="38"/>
        <v>6.5040871132119229E-3</v>
      </c>
      <c r="Q35" s="27">
        <f t="shared" si="38"/>
        <v>1.3300267403725117E-5</v>
      </c>
      <c r="R35" s="27">
        <f t="shared" si="38"/>
        <v>2.1208856035955792E-3</v>
      </c>
      <c r="S35" s="27">
        <f t="shared" si="38"/>
        <v>1.7964854783029941E-5</v>
      </c>
      <c r="T35" s="27">
        <f t="shared" si="38"/>
        <v>2.5703324219885043E-6</v>
      </c>
      <c r="U35" s="27">
        <f t="shared" si="38"/>
        <v>2.5018003680440007E-2</v>
      </c>
      <c r="V35" s="27">
        <f t="shared" si="38"/>
        <v>4.8032691641290998E-3</v>
      </c>
      <c r="X35" s="92">
        <f>SUM(X31:X34)</f>
        <v>0.91346910600821429</v>
      </c>
      <c r="Y35" s="92">
        <f>SUM(Y31:Y34)</f>
        <v>1</v>
      </c>
      <c r="Z35" s="21" t="s">
        <v>97</v>
      </c>
      <c r="AA35" s="170">
        <f>SUMPRODUCT($Z31:$Z34,AA31:AA34)</f>
        <v>7.0891382864961914E-3</v>
      </c>
      <c r="AB35" s="170">
        <f t="shared" ref="AB35" si="39">SUMPRODUCT($Z31:$Z34,AB31:AB34)</f>
        <v>6.8626273734056964E-7</v>
      </c>
      <c r="AC35" s="170">
        <f t="shared" ref="AC35" si="40">SUMPRODUCT($Z31:$Z34,AC31:AC34)</f>
        <v>1.9942913539076753E-3</v>
      </c>
      <c r="AD35" s="170">
        <f t="shared" ref="AD35" si="41">SUMPRODUCT($Z31:$Z34,AD31:AD34)</f>
        <v>1.8442387230956694E-6</v>
      </c>
      <c r="AE35" s="170">
        <f t="shared" ref="AE35" si="42">SUMPRODUCT($Z31:$Z34,AE31:AE34)</f>
        <v>7.3980402532157247E-4</v>
      </c>
      <c r="AF35" s="170">
        <f t="shared" ref="AF35" si="43">SUMPRODUCT($Z31:$Z34,AF31:AF34)</f>
        <v>7.1202047999567863E-3</v>
      </c>
      <c r="AG35" s="170">
        <f t="shared" ref="AG35" si="44">SUMPRODUCT($Z31:$Z34,AG31:AG34)</f>
        <v>1.4560172113369221E-5</v>
      </c>
      <c r="AH35" s="170">
        <f t="shared" ref="AH35" si="45">SUMPRODUCT($Z31:$Z34,AH31:AH34)</f>
        <v>2.3217923733224832E-3</v>
      </c>
      <c r="AI35" s="170">
        <f t="shared" ref="AI35" si="46">SUMPRODUCT($Z31:$Z34,AI31:AI34)</f>
        <v>1.9666625466442857E-5</v>
      </c>
      <c r="AJ35" s="170">
        <f t="shared" ref="AJ35" si="47">SUMPRODUCT($Z31:$Z34,AJ31:AJ34)</f>
        <v>2.8138142878423636E-6</v>
      </c>
      <c r="AK35" s="170">
        <f t="shared" ref="AK35" si="48">SUMPRODUCT($Z31:$Z34,AK31:AK34)</f>
        <v>2.7387903450579346E-2</v>
      </c>
      <c r="AL35" s="170">
        <f t="shared" ref="AL35" si="49">SUMPRODUCT($Z31:$Z34,AL31:AL34)</f>
        <v>0</v>
      </c>
    </row>
    <row r="36" spans="1:38" x14ac:dyDescent="0.2">
      <c r="G36" s="7"/>
      <c r="H36" s="21"/>
      <c r="I36" s="92"/>
      <c r="J36" s="21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Z36" s="21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</row>
    <row r="37" spans="1:38" ht="16" thickBot="1" x14ac:dyDescent="0.25">
      <c r="C37" s="28" t="s">
        <v>13</v>
      </c>
      <c r="D37" s="130" t="s">
        <v>186</v>
      </c>
      <c r="E37" s="166">
        <f>E38-F38/100*E38</f>
        <v>12.985789102477527</v>
      </c>
      <c r="G37" s="7"/>
      <c r="H37" s="21"/>
      <c r="I37" s="92"/>
      <c r="J37" s="21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Z37" s="21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</row>
    <row r="38" spans="1:38" ht="16" thickBot="1" x14ac:dyDescent="0.25">
      <c r="C38" t="s">
        <v>192</v>
      </c>
      <c r="D38" s="2">
        <v>43268</v>
      </c>
      <c r="E38" s="42">
        <f>D38/D$44*100</f>
        <v>12.985789102477527</v>
      </c>
      <c r="F38" s="35">
        <v>0</v>
      </c>
      <c r="G38" s="91" t="s">
        <v>130</v>
      </c>
      <c r="H38" s="21"/>
      <c r="I38" s="92"/>
      <c r="J38" s="21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Z38" s="21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</row>
    <row r="39" spans="1:38" x14ac:dyDescent="0.2">
      <c r="B39" s="6">
        <f>Additional!D6</f>
        <v>146.55318386313746</v>
      </c>
      <c r="C39" s="29" t="s">
        <v>1</v>
      </c>
      <c r="D39" s="2">
        <v>12423</v>
      </c>
      <c r="E39" s="41">
        <f>D39/D$44*100+F38/100*E38</f>
        <v>3.7284473056318372</v>
      </c>
      <c r="F39" s="5">
        <f>F31</f>
        <v>44.025483049649139</v>
      </c>
      <c r="G39" s="7">
        <f t="shared" si="1"/>
        <v>8.4688390617477876E-4</v>
      </c>
      <c r="H39" s="21">
        <f t="shared" si="2"/>
        <v>0.12411353281236441</v>
      </c>
      <c r="I39" s="92">
        <f>1/H$44*H39</f>
        <v>5.1271432188452516E-2</v>
      </c>
      <c r="J39" s="21">
        <f t="shared" si="4"/>
        <v>3.4984864086155706E-4</v>
      </c>
      <c r="K39" s="25">
        <f>K31</f>
        <v>0.99857026424627093</v>
      </c>
      <c r="L39" s="25">
        <f t="shared" ref="L39:U39" si="50">L31</f>
        <v>1.0990369323650568E-4</v>
      </c>
      <c r="M39" s="25">
        <f t="shared" si="50"/>
        <v>4.878582991249243E-4</v>
      </c>
      <c r="N39" s="25">
        <f t="shared" si="50"/>
        <v>2.6337639207643773E-4</v>
      </c>
      <c r="O39" s="25">
        <f t="shared" si="50"/>
        <v>0.18080795473308686</v>
      </c>
      <c r="P39" s="25">
        <f t="shared" si="50"/>
        <v>1.8155169739887416</v>
      </c>
      <c r="Q39" s="25">
        <f t="shared" si="50"/>
        <v>3.096351427492748E-3</v>
      </c>
      <c r="R39" s="25">
        <f t="shared" si="50"/>
        <v>1.8497795635051531E-3</v>
      </c>
      <c r="S39" s="25">
        <f t="shared" si="50"/>
        <v>3.903047748392106E-4</v>
      </c>
      <c r="T39" s="25">
        <f t="shared" si="50"/>
        <v>9.3199967874282619E-5</v>
      </c>
      <c r="U39" s="25">
        <f t="shared" si="50"/>
        <v>4</v>
      </c>
      <c r="V39" s="25">
        <v>0</v>
      </c>
      <c r="X39" s="92">
        <f>I39-V39*Additional!$B$21/B39*I39</f>
        <v>5.1271432188452516E-2</v>
      </c>
      <c r="Y39" s="92">
        <f>1/X$44*X39</f>
        <v>5.5481715925970496E-2</v>
      </c>
      <c r="Z39" s="21">
        <f>Y39/(B39-V39*Additional!$B$21)</f>
        <v>3.7857734962471747E-4</v>
      </c>
      <c r="AA39" s="5">
        <f t="shared" si="6"/>
        <v>0.99857026424627093</v>
      </c>
      <c r="AB39" s="5">
        <f t="shared" si="7"/>
        <v>1.0990369323650568E-4</v>
      </c>
      <c r="AC39" s="5">
        <f t="shared" si="8"/>
        <v>4.878582991249243E-4</v>
      </c>
      <c r="AD39" s="5">
        <f t="shared" si="9"/>
        <v>2.6337639207643773E-4</v>
      </c>
      <c r="AE39" s="5">
        <f t="shared" si="10"/>
        <v>0.18080795473308686</v>
      </c>
      <c r="AF39" s="5">
        <f t="shared" si="11"/>
        <v>1.8155169739887416</v>
      </c>
      <c r="AG39" s="5">
        <f t="shared" si="12"/>
        <v>3.096351427492748E-3</v>
      </c>
      <c r="AH39" s="5">
        <f t="shared" si="13"/>
        <v>1.8497795635051531E-3</v>
      </c>
      <c r="AI39" s="5">
        <f t="shared" si="14"/>
        <v>3.903047748392106E-4</v>
      </c>
      <c r="AJ39" s="5">
        <f t="shared" si="15"/>
        <v>9.3199967874282619E-5</v>
      </c>
      <c r="AK39" s="5">
        <f t="shared" si="16"/>
        <v>4</v>
      </c>
      <c r="AL39" s="5">
        <f t="shared" si="20"/>
        <v>0</v>
      </c>
    </row>
    <row r="40" spans="1:38" x14ac:dyDescent="0.2">
      <c r="B40" s="6">
        <f>Additional!G6</f>
        <v>568.18640431513654</v>
      </c>
      <c r="C40" s="29" t="s">
        <v>9</v>
      </c>
      <c r="D40" s="2">
        <v>164154</v>
      </c>
      <c r="E40" s="41">
        <f t="shared" ref="E40:E43" si="51">D40/D$44*100</f>
        <v>49.266645657948047</v>
      </c>
      <c r="F40" s="5">
        <f>F25</f>
        <v>207.66998097174971</v>
      </c>
      <c r="G40" s="7">
        <f t="shared" si="1"/>
        <v>2.3723527795117393E-3</v>
      </c>
      <c r="H40" s="21">
        <f t="shared" si="2"/>
        <v>1.3479385955577952</v>
      </c>
      <c r="I40" s="92">
        <f t="shared" ref="I40:I43" si="52">1/H$44*H40</f>
        <v>0.55683486506520974</v>
      </c>
      <c r="J40" s="21">
        <f t="shared" si="4"/>
        <v>9.8002145217886832E-4</v>
      </c>
      <c r="K40" s="25">
        <f>K25</f>
        <v>3.3478339647721413</v>
      </c>
      <c r="L40" s="25">
        <f t="shared" ref="L40:U40" si="53">L25</f>
        <v>2.8518218679689873E-4</v>
      </c>
      <c r="M40" s="25">
        <f t="shared" si="53"/>
        <v>1.5140260269127097</v>
      </c>
      <c r="N40" s="25">
        <f t="shared" si="53"/>
        <v>1.1846742753447064E-3</v>
      </c>
      <c r="O40" s="25">
        <f t="shared" si="53"/>
        <v>0.44216870009811865</v>
      </c>
      <c r="P40" s="25">
        <f t="shared" si="53"/>
        <v>4.5402943448536917</v>
      </c>
      <c r="Q40" s="25">
        <f t="shared" si="53"/>
        <v>8.4670638041581224E-3</v>
      </c>
      <c r="R40" s="25">
        <f t="shared" si="53"/>
        <v>3.2649525516076104E-2</v>
      </c>
      <c r="S40" s="25">
        <f t="shared" si="53"/>
        <v>1.2610860851833133E-2</v>
      </c>
      <c r="T40" s="25">
        <f t="shared" si="53"/>
        <v>2.1211792041599298E-3</v>
      </c>
      <c r="U40" s="25">
        <f t="shared" si="53"/>
        <v>14</v>
      </c>
      <c r="V40" s="25">
        <v>4</v>
      </c>
      <c r="X40" s="92">
        <f>I40-V40*Additional!$B$21/B40*I40</f>
        <v>0.48621451922120046</v>
      </c>
      <c r="Y40" s="92">
        <f t="shared" ref="Y40:Y43" si="54">1/X$44*X40</f>
        <v>0.52614125806668166</v>
      </c>
      <c r="Z40" s="21">
        <f>Y40/(B40-V40*Additional!$B$21)</f>
        <v>1.0604984001869005E-3</v>
      </c>
      <c r="AA40" s="5">
        <f t="shared" si="6"/>
        <v>3.3478339647721413</v>
      </c>
      <c r="AB40" s="5">
        <f t="shared" si="7"/>
        <v>2.8518218679689873E-4</v>
      </c>
      <c r="AC40" s="5">
        <f t="shared" si="8"/>
        <v>1.5140260269127097</v>
      </c>
      <c r="AD40" s="5">
        <f t="shared" si="9"/>
        <v>1.1846742753447064E-3</v>
      </c>
      <c r="AE40" s="5">
        <f t="shared" si="10"/>
        <v>0.44216870009811865</v>
      </c>
      <c r="AF40" s="5">
        <f t="shared" si="11"/>
        <v>4.5402943448536917</v>
      </c>
      <c r="AG40" s="5">
        <f t="shared" si="12"/>
        <v>8.4670638041581224E-3</v>
      </c>
      <c r="AH40" s="5">
        <f t="shared" si="13"/>
        <v>3.2649525516076104E-2</v>
      </c>
      <c r="AI40" s="5">
        <f t="shared" si="14"/>
        <v>1.2610860851833133E-2</v>
      </c>
      <c r="AJ40" s="5">
        <f t="shared" si="15"/>
        <v>2.1211792041599298E-3</v>
      </c>
      <c r="AK40" s="5">
        <f t="shared" si="16"/>
        <v>14</v>
      </c>
      <c r="AL40" s="169">
        <v>0</v>
      </c>
    </row>
    <row r="41" spans="1:38" x14ac:dyDescent="0.2">
      <c r="B41" s="6">
        <f>Additional!I6</f>
        <v>721.15196654272188</v>
      </c>
      <c r="C41" s="29" t="s">
        <v>12</v>
      </c>
      <c r="D41" s="2">
        <v>60565</v>
      </c>
      <c r="E41" s="41">
        <f t="shared" si="51"/>
        <v>18.177043473041312</v>
      </c>
      <c r="F41" s="5">
        <f>F33</f>
        <v>256.89999999999998</v>
      </c>
      <c r="G41" s="7">
        <f t="shared" si="1"/>
        <v>7.0755326870538399E-4</v>
      </c>
      <c r="H41" s="21">
        <f t="shared" si="2"/>
        <v>0.51025343116061861</v>
      </c>
      <c r="I41" s="92">
        <f t="shared" si="52"/>
        <v>0.21078623419919792</v>
      </c>
      <c r="J41" s="21">
        <f t="shared" si="4"/>
        <v>2.9229100658177394E-4</v>
      </c>
      <c r="K41" s="25">
        <f>K33</f>
        <v>5.6510765177962323</v>
      </c>
      <c r="L41" s="25">
        <f t="shared" ref="L41:U41" si="55">L33</f>
        <v>6.4213021303649565E-4</v>
      </c>
      <c r="M41" s="25">
        <f t="shared" si="55"/>
        <v>0.3879627522179091</v>
      </c>
      <c r="N41" s="25">
        <f t="shared" si="55"/>
        <v>4.5019598076089889E-4</v>
      </c>
      <c r="O41" s="25">
        <f t="shared" si="55"/>
        <v>6.3601526613318971E-2</v>
      </c>
      <c r="P41" s="25">
        <f t="shared" si="55"/>
        <v>1.3526478497925648E-2</v>
      </c>
      <c r="Q41" s="25">
        <f t="shared" si="55"/>
        <v>4.0774167506375204E-3</v>
      </c>
      <c r="R41" s="25">
        <f t="shared" si="55"/>
        <v>6.027335422848477</v>
      </c>
      <c r="S41" s="25">
        <f t="shared" si="55"/>
        <v>1.0421338873234973E-2</v>
      </c>
      <c r="T41" s="25">
        <f t="shared" si="55"/>
        <v>3.8353507296010525E-4</v>
      </c>
      <c r="U41" s="25">
        <f t="shared" si="55"/>
        <v>18</v>
      </c>
      <c r="V41" s="25">
        <v>1</v>
      </c>
      <c r="X41" s="92">
        <f>I41-V41*Additional!$B$21/B41*I41</f>
        <v>0.20552061171562727</v>
      </c>
      <c r="Y41" s="92">
        <f t="shared" si="54"/>
        <v>0.22239745818347254</v>
      </c>
      <c r="Z41" s="21">
        <f>Y41/(B41-V41*Additional!$B$21)</f>
        <v>3.1629322417364312E-4</v>
      </c>
      <c r="AA41" s="5">
        <f t="shared" si="6"/>
        <v>5.6510765177962323</v>
      </c>
      <c r="AB41" s="5">
        <f t="shared" si="7"/>
        <v>6.4213021303649565E-4</v>
      </c>
      <c r="AC41" s="5">
        <f t="shared" si="8"/>
        <v>0.3879627522179091</v>
      </c>
      <c r="AD41" s="5">
        <f t="shared" si="9"/>
        <v>4.5019598076089889E-4</v>
      </c>
      <c r="AE41" s="5">
        <f t="shared" si="10"/>
        <v>6.3601526613318971E-2</v>
      </c>
      <c r="AF41" s="5">
        <f t="shared" si="11"/>
        <v>1.3526478497925648E-2</v>
      </c>
      <c r="AG41" s="5">
        <f t="shared" si="12"/>
        <v>4.0774167506375204E-3</v>
      </c>
      <c r="AH41" s="5">
        <f t="shared" si="13"/>
        <v>6.027335422848477</v>
      </c>
      <c r="AI41" s="5">
        <f t="shared" si="14"/>
        <v>1.0421338873234973E-2</v>
      </c>
      <c r="AJ41" s="5">
        <f t="shared" si="15"/>
        <v>3.8353507296010525E-4</v>
      </c>
      <c r="AK41" s="5">
        <f t="shared" si="16"/>
        <v>18</v>
      </c>
      <c r="AL41" s="169">
        <v>0</v>
      </c>
    </row>
    <row r="42" spans="1:38" x14ac:dyDescent="0.2">
      <c r="B42" s="6">
        <f>Additional!E6</f>
        <v>278.56881395897864</v>
      </c>
      <c r="C42" s="29" t="s">
        <v>14</v>
      </c>
      <c r="D42" s="2">
        <v>52722</v>
      </c>
      <c r="E42" s="41">
        <f t="shared" si="51"/>
        <v>15.823166614144871</v>
      </c>
      <c r="F42" s="5">
        <f>Additional!E5</f>
        <v>100.76760728821925</v>
      </c>
      <c r="G42" s="7">
        <f t="shared" si="1"/>
        <v>1.5702632065964276E-3</v>
      </c>
      <c r="H42" s="21">
        <f t="shared" si="2"/>
        <v>0.4374263590649895</v>
      </c>
      <c r="I42" s="92">
        <f t="shared" si="52"/>
        <v>0.18070129338875787</v>
      </c>
      <c r="J42" s="21">
        <f t="shared" si="4"/>
        <v>6.4867739794938965E-4</v>
      </c>
      <c r="K42" s="23">
        <v>1.9610798146953545</v>
      </c>
      <c r="L42" s="23">
        <v>1.43944958267027E-4</v>
      </c>
      <c r="M42" s="23">
        <v>2.0630703322935222</v>
      </c>
      <c r="N42" s="23">
        <v>1.1622088321737301E-4</v>
      </c>
      <c r="O42" s="23">
        <v>2.350491080704023E-2</v>
      </c>
      <c r="P42" s="23">
        <v>5.2505213464297115E-3</v>
      </c>
      <c r="Q42" s="23">
        <v>9.9974249442511182E-4</v>
      </c>
      <c r="R42" s="23">
        <v>0.93247861549666011</v>
      </c>
      <c r="S42" s="23">
        <v>4.0340863341323571E-2</v>
      </c>
      <c r="T42" s="23">
        <v>7.3685822486169021E-4</v>
      </c>
      <c r="U42" s="23">
        <v>8</v>
      </c>
      <c r="V42" s="25">
        <v>0</v>
      </c>
      <c r="X42" s="92">
        <f>I42-V42*Additional!$B$21/B42*I42</f>
        <v>0.18070129338875787</v>
      </c>
      <c r="Y42" s="92">
        <f t="shared" si="54"/>
        <v>0.19554003856183502</v>
      </c>
      <c r="Z42" s="21">
        <f>Y42/(B42-V42*Additional!$B$21)</f>
        <v>7.0194518827448415E-4</v>
      </c>
      <c r="AA42" s="5">
        <f t="shared" si="6"/>
        <v>1.9610798146953545</v>
      </c>
      <c r="AB42" s="5">
        <f t="shared" si="7"/>
        <v>1.43944958267027E-4</v>
      </c>
      <c r="AC42" s="5">
        <f t="shared" si="8"/>
        <v>2.0630703322935222</v>
      </c>
      <c r="AD42" s="5">
        <f t="shared" si="9"/>
        <v>1.1622088321737301E-4</v>
      </c>
      <c r="AE42" s="5">
        <f t="shared" si="10"/>
        <v>2.350491080704023E-2</v>
      </c>
      <c r="AF42" s="5">
        <f t="shared" si="11"/>
        <v>5.2505213464297115E-3</v>
      </c>
      <c r="AG42" s="5">
        <f t="shared" si="12"/>
        <v>9.9974249442511182E-4</v>
      </c>
      <c r="AH42" s="5">
        <f t="shared" si="13"/>
        <v>0.93247861549666011</v>
      </c>
      <c r="AI42" s="5">
        <f t="shared" si="14"/>
        <v>4.0340863341323571E-2</v>
      </c>
      <c r="AJ42" s="5">
        <f t="shared" si="15"/>
        <v>7.3685822486169021E-4</v>
      </c>
      <c r="AK42" s="5">
        <f t="shared" si="16"/>
        <v>8</v>
      </c>
      <c r="AL42" s="5">
        <f t="shared" si="20"/>
        <v>0</v>
      </c>
    </row>
    <row r="43" spans="1:38" x14ac:dyDescent="0.2">
      <c r="B43" s="6">
        <f>Additional!J6</f>
        <v>231.53100000000001</v>
      </c>
      <c r="C43" s="29" t="s">
        <v>3</v>
      </c>
      <c r="D43" s="2">
        <v>63</v>
      </c>
      <c r="E43" s="41">
        <f t="shared" si="51"/>
        <v>1.8907846756403907E-2</v>
      </c>
      <c r="F43" s="5">
        <f>F34</f>
        <v>44.524000000000001</v>
      </c>
      <c r="G43" s="7">
        <f t="shared" si="1"/>
        <v>4.2466639916458328E-6</v>
      </c>
      <c r="H43" s="21">
        <f t="shared" si="2"/>
        <v>9.8323436064975131E-4</v>
      </c>
      <c r="I43" s="92">
        <f t="shared" si="52"/>
        <v>4.0617515838198807E-4</v>
      </c>
      <c r="J43" s="21">
        <f t="shared" si="4"/>
        <v>1.7543014040538333E-6</v>
      </c>
      <c r="K43" s="25">
        <f>K34</f>
        <v>0</v>
      </c>
      <c r="L43" s="25">
        <f t="shared" ref="L43:U43" si="56">L34</f>
        <v>0</v>
      </c>
      <c r="M43" s="25">
        <f t="shared" si="56"/>
        <v>0</v>
      </c>
      <c r="N43" s="25">
        <f t="shared" si="56"/>
        <v>0</v>
      </c>
      <c r="O43" s="25">
        <f t="shared" si="56"/>
        <v>3</v>
      </c>
      <c r="P43" s="25">
        <f t="shared" si="56"/>
        <v>0</v>
      </c>
      <c r="Q43" s="25">
        <f t="shared" si="56"/>
        <v>0</v>
      </c>
      <c r="R43" s="25">
        <f t="shared" si="56"/>
        <v>0</v>
      </c>
      <c r="S43" s="25">
        <f t="shared" si="56"/>
        <v>0</v>
      </c>
      <c r="T43" s="25">
        <f t="shared" si="56"/>
        <v>0</v>
      </c>
      <c r="U43" s="25">
        <f t="shared" si="56"/>
        <v>4</v>
      </c>
      <c r="V43" s="25">
        <v>0</v>
      </c>
      <c r="X43" s="92">
        <f>I43-V43*Additional!$B$21/B43*I43</f>
        <v>4.0617515838198807E-4</v>
      </c>
      <c r="Y43" s="92">
        <f t="shared" si="54"/>
        <v>4.3952926204021648E-4</v>
      </c>
      <c r="Z43" s="21">
        <f>Y43/(B43-V43*Additional!$B$21)</f>
        <v>1.8983603147751983E-6</v>
      </c>
      <c r="AA43" s="5">
        <f t="shared" si="6"/>
        <v>0</v>
      </c>
      <c r="AB43" s="5">
        <f t="shared" si="7"/>
        <v>0</v>
      </c>
      <c r="AC43" s="5">
        <f t="shared" si="8"/>
        <v>0</v>
      </c>
      <c r="AD43" s="5">
        <f t="shared" si="9"/>
        <v>0</v>
      </c>
      <c r="AE43" s="5">
        <f t="shared" si="10"/>
        <v>3</v>
      </c>
      <c r="AF43" s="5">
        <f t="shared" si="11"/>
        <v>0</v>
      </c>
      <c r="AG43" s="5">
        <f t="shared" si="12"/>
        <v>0</v>
      </c>
      <c r="AH43" s="5">
        <f t="shared" si="13"/>
        <v>0</v>
      </c>
      <c r="AI43" s="5">
        <f t="shared" si="14"/>
        <v>0</v>
      </c>
      <c r="AJ43" s="5">
        <f t="shared" si="15"/>
        <v>0</v>
      </c>
      <c r="AK43" s="5">
        <f t="shared" si="16"/>
        <v>4</v>
      </c>
      <c r="AL43" s="5">
        <f t="shared" si="20"/>
        <v>0</v>
      </c>
    </row>
    <row r="44" spans="1:38" x14ac:dyDescent="0.2">
      <c r="B44" s="65"/>
      <c r="C44" s="57" t="s">
        <v>81</v>
      </c>
      <c r="D44" s="58">
        <f>SUM(D38:D43)</f>
        <v>333195</v>
      </c>
      <c r="E44" s="58"/>
      <c r="F44" s="58"/>
      <c r="G44" s="59">
        <f>SUM(G39:G43)</f>
        <v>5.5012998249799761E-3</v>
      </c>
      <c r="H44" s="60">
        <f>SUM(H39:H43)</f>
        <v>2.4207151529564173</v>
      </c>
      <c r="I44" s="93">
        <f>SUM(I39:I43)</f>
        <v>1</v>
      </c>
      <c r="J44" s="60" t="s">
        <v>39</v>
      </c>
      <c r="K44" s="61">
        <f>SUMPRODUCT($J39:$J43,K39:K43)</f>
        <v>6.5541645485859964E-3</v>
      </c>
      <c r="L44" s="61">
        <f t="shared" ref="L44:V44" si="57">SUMPRODUCT($J39:$J43,L39:L43)</f>
        <v>5.9899704584629378E-7</v>
      </c>
      <c r="M44" s="61">
        <f t="shared" si="57"/>
        <v>2.9356137803952308E-3</v>
      </c>
      <c r="N44" s="61">
        <f t="shared" si="57"/>
        <v>1.4601261729737273E-6</v>
      </c>
      <c r="O44" s="61">
        <f t="shared" si="57"/>
        <v>5.3569039162597852E-4</v>
      </c>
      <c r="P44" s="61">
        <f t="shared" si="57"/>
        <v>5.0921015655146125E-3</v>
      </c>
      <c r="Q44" s="61">
        <f t="shared" si="57"/>
        <v>1.1221461109780597E-5</v>
      </c>
      <c r="R44" s="61">
        <f t="shared" si="57"/>
        <v>2.3992581179695881E-3</v>
      </c>
      <c r="S44" s="61">
        <f t="shared" si="57"/>
        <v>4.1709731652707736E-5</v>
      </c>
      <c r="T44" s="61">
        <f t="shared" si="57"/>
        <v>2.7014941345773999E-6</v>
      </c>
      <c r="U44" s="61">
        <f t="shared" si="57"/>
        <v>2.5577369401633653E-2</v>
      </c>
      <c r="V44" s="61">
        <f t="shared" si="57"/>
        <v>4.2123768152972476E-3</v>
      </c>
      <c r="X44" s="92">
        <f>SUM(X39:X43)</f>
        <v>0.92411403167242012</v>
      </c>
      <c r="Y44" s="92">
        <f>SUM(Y39:Y43)</f>
        <v>0.99999999999999989</v>
      </c>
      <c r="Z44" s="21" t="s">
        <v>97</v>
      </c>
      <c r="AA44" s="170">
        <f>SUMPRODUCT($Z39:$Z43,AA39:AA43)</f>
        <v>7.092376399397987E-3</v>
      </c>
      <c r="AB44" s="170">
        <f t="shared" ref="AB44:AL44" si="58">SUMPRODUCT($Z39:$Z43,AB39:AB43)</f>
        <v>6.4818520801188982E-7</v>
      </c>
      <c r="AC44" s="170">
        <f t="shared" si="58"/>
        <v>3.1766791540676948E-3</v>
      </c>
      <c r="AD44" s="170">
        <f t="shared" si="58"/>
        <v>1.5800281382279809E-6</v>
      </c>
      <c r="AE44" s="170">
        <f t="shared" si="58"/>
        <v>5.7967996726173495E-4</v>
      </c>
      <c r="AF44" s="170">
        <f t="shared" si="58"/>
        <v>5.5102524049972E-3</v>
      </c>
      <c r="AG44" s="170">
        <f t="shared" si="58"/>
        <v>1.2142939859351014E-5</v>
      </c>
      <c r="AH44" s="170">
        <f t="shared" si="58"/>
        <v>2.5962792856066884E-3</v>
      </c>
      <c r="AI44" s="170">
        <f t="shared" si="58"/>
        <v>4.5134832091255374E-5</v>
      </c>
      <c r="AJ44" s="170">
        <f t="shared" si="58"/>
        <v>2.9233341795366492E-6</v>
      </c>
      <c r="AK44" s="170">
        <f t="shared" si="58"/>
        <v>2.7677719983696027E-2</v>
      </c>
      <c r="AL44" s="170">
        <f t="shared" si="58"/>
        <v>0</v>
      </c>
    </row>
    <row r="45" spans="1:38" x14ac:dyDescent="0.2">
      <c r="B45" s="46"/>
      <c r="C45" s="111"/>
      <c r="D45" s="45"/>
      <c r="E45" s="45"/>
      <c r="F45" s="45"/>
      <c r="G45" s="112"/>
      <c r="H45" s="113"/>
      <c r="I45" s="114"/>
      <c r="J45" s="113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</row>
    <row r="46" spans="1:38" x14ac:dyDescent="0.2">
      <c r="B46" s="46"/>
      <c r="C46" s="116" t="s">
        <v>147</v>
      </c>
      <c r="D46" s="45"/>
      <c r="E46" s="45"/>
      <c r="F46" s="45"/>
      <c r="G46" s="112"/>
      <c r="H46" s="113"/>
      <c r="I46" s="114"/>
      <c r="J46" s="113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</row>
    <row r="47" spans="1:38" x14ac:dyDescent="0.2">
      <c r="A47" s="119">
        <v>3.8932641740236424</v>
      </c>
      <c r="B47" s="6">
        <f>B9</f>
        <v>146.55318386313746</v>
      </c>
      <c r="C47" s="29" t="s">
        <v>1</v>
      </c>
      <c r="D47" s="5">
        <f>A47/A49*100</f>
        <v>74.417131979238505</v>
      </c>
      <c r="E47" s="41">
        <f>D47/SUM(D47:D49)*100</f>
        <v>57.243947676337314</v>
      </c>
      <c r="F47" s="5">
        <f>F9</f>
        <v>44.025483049649139</v>
      </c>
      <c r="G47" s="7">
        <f>1/F47*E47/100</f>
        <v>1.3002457602062249E-2</v>
      </c>
      <c r="H47" s="21">
        <f>G47*B47</f>
        <v>1.9055515596276782</v>
      </c>
      <c r="I47" s="92">
        <f>1/H$49*H47</f>
        <v>0.77791116446578634</v>
      </c>
      <c r="J47" s="21">
        <f>I47/B47</f>
        <v>5.3080468397892948E-3</v>
      </c>
      <c r="K47" s="23">
        <v>0.99857026424627093</v>
      </c>
      <c r="L47" s="23">
        <v>1.0990369323650568E-4</v>
      </c>
      <c r="M47" s="23">
        <v>4.878582991249243E-4</v>
      </c>
      <c r="N47" s="23">
        <v>2.6337639207643773E-4</v>
      </c>
      <c r="O47" s="23">
        <v>0.18080795473308686</v>
      </c>
      <c r="P47" s="23">
        <v>1.8155169739887416</v>
      </c>
      <c r="Q47" s="23">
        <v>3.096351427492748E-3</v>
      </c>
      <c r="R47" s="23">
        <v>1.8497795635051531E-3</v>
      </c>
      <c r="S47" s="23">
        <v>3.903047748392106E-4</v>
      </c>
      <c r="T47" s="23">
        <v>9.3199967874282619E-5</v>
      </c>
      <c r="U47" s="23">
        <v>4</v>
      </c>
      <c r="V47" s="25">
        <v>0</v>
      </c>
      <c r="X47" s="92">
        <f>I47-V47*Additional!$B$21/B47*I47</f>
        <v>0.77791116446578634</v>
      </c>
      <c r="Y47" s="92">
        <f>1/X$49*X47</f>
        <v>0.77791116446578634</v>
      </c>
      <c r="Z47" s="21">
        <f>Y47/(B47-V47*Additional!$B$21)</f>
        <v>5.3080468397892948E-3</v>
      </c>
      <c r="AA47" s="5">
        <f t="shared" si="6"/>
        <v>0.99857026424627093</v>
      </c>
      <c r="AB47" s="5">
        <f t="shared" si="7"/>
        <v>1.0990369323650568E-4</v>
      </c>
      <c r="AC47" s="5">
        <f t="shared" si="8"/>
        <v>4.878582991249243E-4</v>
      </c>
      <c r="AD47" s="5">
        <f t="shared" si="9"/>
        <v>2.6337639207643773E-4</v>
      </c>
      <c r="AE47" s="5">
        <f t="shared" si="10"/>
        <v>0.18080795473308686</v>
      </c>
      <c r="AF47" s="5">
        <f t="shared" si="11"/>
        <v>1.8155169739887416</v>
      </c>
      <c r="AG47" s="5">
        <f t="shared" si="12"/>
        <v>3.096351427492748E-3</v>
      </c>
      <c r="AH47" s="5">
        <f t="shared" si="13"/>
        <v>1.8497795635051531E-3</v>
      </c>
      <c r="AI47" s="5">
        <f t="shared" si="14"/>
        <v>3.903047748392106E-4</v>
      </c>
      <c r="AJ47" s="5">
        <f t="shared" si="15"/>
        <v>9.3199967874282619E-5</v>
      </c>
      <c r="AK47" s="5">
        <f t="shared" si="16"/>
        <v>4</v>
      </c>
      <c r="AL47" s="5">
        <f t="shared" si="20"/>
        <v>0</v>
      </c>
    </row>
    <row r="48" spans="1:38" x14ac:dyDescent="0.2">
      <c r="A48" s="119">
        <v>1.3384130896336257</v>
      </c>
      <c r="B48" s="6">
        <f>B42</f>
        <v>278.56881395897864</v>
      </c>
      <c r="C48" s="29" t="s">
        <v>14</v>
      </c>
      <c r="D48" s="5">
        <f>A48/A49*100</f>
        <v>25.582868020761506</v>
      </c>
      <c r="E48" s="41">
        <f>D48/SUM(D47:D49)*100</f>
        <v>19.67912924673962</v>
      </c>
      <c r="F48" s="118">
        <f>F42</f>
        <v>100.76760728821925</v>
      </c>
      <c r="G48" s="7">
        <f t="shared" ref="G48" si="59">1/F48*E48/100</f>
        <v>1.9529221519027085E-3</v>
      </c>
      <c r="H48" s="21">
        <f t="shared" ref="H48" si="60">G48*B48</f>
        <v>0.54402320760975376</v>
      </c>
      <c r="I48" s="92">
        <f>1/H$49*H48</f>
        <v>0.22208883553421369</v>
      </c>
      <c r="J48" s="21">
        <f t="shared" ref="J48" si="61">I48/B48</f>
        <v>7.972494565271687E-4</v>
      </c>
      <c r="K48" s="23">
        <v>1.9610798146953545</v>
      </c>
      <c r="L48" s="23">
        <v>1.43944958267027E-4</v>
      </c>
      <c r="M48" s="23">
        <v>2.0630703322935222</v>
      </c>
      <c r="N48" s="23">
        <v>1.1622088321737301E-4</v>
      </c>
      <c r="O48" s="23">
        <v>2.350491080704023E-2</v>
      </c>
      <c r="P48" s="23">
        <v>5.2505213464297115E-3</v>
      </c>
      <c r="Q48" s="23">
        <v>9.9974249442511182E-4</v>
      </c>
      <c r="R48" s="23">
        <v>0.93247861549666011</v>
      </c>
      <c r="S48" s="23">
        <v>4.0340863341323571E-2</v>
      </c>
      <c r="T48" s="23">
        <v>7.3685822486169021E-4</v>
      </c>
      <c r="U48" s="23">
        <v>8</v>
      </c>
      <c r="V48" s="25">
        <v>0</v>
      </c>
      <c r="X48" s="92">
        <f>I48-V48*Additional!$B$21/B48*I48</f>
        <v>0.22208883553421369</v>
      </c>
      <c r="Y48" s="92">
        <f>1/X$49*X48</f>
        <v>0.22208883553421369</v>
      </c>
      <c r="Z48" s="21">
        <f>Y48/(B48-V48*Additional!$B$21)</f>
        <v>7.972494565271687E-4</v>
      </c>
      <c r="AA48" s="5">
        <f t="shared" si="6"/>
        <v>1.9610798146953545</v>
      </c>
      <c r="AB48" s="5">
        <f t="shared" si="7"/>
        <v>1.43944958267027E-4</v>
      </c>
      <c r="AC48" s="5">
        <f t="shared" si="8"/>
        <v>2.0630703322935222</v>
      </c>
      <c r="AD48" s="5">
        <f t="shared" si="9"/>
        <v>1.1622088321737301E-4</v>
      </c>
      <c r="AE48" s="5">
        <f t="shared" si="10"/>
        <v>2.350491080704023E-2</v>
      </c>
      <c r="AF48" s="5">
        <f t="shared" si="11"/>
        <v>5.2505213464297115E-3</v>
      </c>
      <c r="AG48" s="5">
        <f t="shared" si="12"/>
        <v>9.9974249442511182E-4</v>
      </c>
      <c r="AH48" s="5">
        <f t="shared" si="13"/>
        <v>0.93247861549666011</v>
      </c>
      <c r="AI48" s="5">
        <f t="shared" si="14"/>
        <v>4.0340863341323571E-2</v>
      </c>
      <c r="AJ48" s="5">
        <f t="shared" si="15"/>
        <v>7.3685822486169021E-4</v>
      </c>
      <c r="AK48" s="5">
        <f t="shared" si="16"/>
        <v>8</v>
      </c>
      <c r="AL48" s="5">
        <f t="shared" si="20"/>
        <v>0</v>
      </c>
    </row>
    <row r="49" spans="1:38" x14ac:dyDescent="0.2">
      <c r="A49" s="119">
        <f>A48+A47</f>
        <v>5.2316772636572679</v>
      </c>
      <c r="B49" s="123"/>
      <c r="C49" s="56" t="s">
        <v>192</v>
      </c>
      <c r="D49" s="58">
        <v>30</v>
      </c>
      <c r="E49" s="124">
        <f>D49/SUM(D47:D49)*100</f>
        <v>23.076923076923077</v>
      </c>
      <c r="F49" s="58"/>
      <c r="G49" s="65"/>
      <c r="H49" s="60">
        <f>H48+H47</f>
        <v>2.4495747672374319</v>
      </c>
      <c r="I49" s="93">
        <f>I48+I47</f>
        <v>1</v>
      </c>
      <c r="J49" s="58" t="s">
        <v>39</v>
      </c>
      <c r="K49" s="125">
        <f t="shared" ref="K49:V49" si="62">SUMPRODUCT($J47:$J48,K47:K48)</f>
        <v>6.8639275519122517E-3</v>
      </c>
      <c r="L49" s="125">
        <f t="shared" si="62"/>
        <v>6.9813399131341933E-7</v>
      </c>
      <c r="M49" s="125">
        <f t="shared" si="62"/>
        <v>1.6473712759012709E-3</v>
      </c>
      <c r="N49" s="125">
        <f t="shared" si="62"/>
        <v>1.4906712616185996E-6</v>
      </c>
      <c r="O49" s="125">
        <f t="shared" si="62"/>
        <v>9.7847637009635985E-4</v>
      </c>
      <c r="P49" s="125">
        <f t="shared" si="62"/>
        <v>9.6410351116546882E-3</v>
      </c>
      <c r="Q49" s="125">
        <f t="shared" si="62"/>
        <v>1.7232622569927489E-5</v>
      </c>
      <c r="R49" s="125">
        <f t="shared" si="62"/>
        <v>7.532367859942893E-4</v>
      </c>
      <c r="S49" s="125">
        <f t="shared" si="62"/>
        <v>3.4233487401346939E-5</v>
      </c>
      <c r="T49" s="125">
        <f t="shared" si="62"/>
        <v>1.0821696142521063E-6</v>
      </c>
      <c r="U49" s="125">
        <f t="shared" si="62"/>
        <v>2.761018301137453E-2</v>
      </c>
      <c r="V49" s="125">
        <f t="shared" si="62"/>
        <v>0</v>
      </c>
      <c r="X49" s="92">
        <f>SUM(X47:X48)</f>
        <v>1</v>
      </c>
      <c r="Y49" s="92">
        <f>SUM(Y47:Y48)</f>
        <v>1</v>
      </c>
      <c r="Z49" s="21" t="s">
        <v>97</v>
      </c>
      <c r="AA49" s="170">
        <f>SUMPRODUCT($Z47:$Z48,AA47:AA48)</f>
        <v>6.8639275519122517E-3</v>
      </c>
      <c r="AB49" s="170">
        <f t="shared" ref="AB49:AL49" si="63">SUMPRODUCT($Z47:$Z48,AB47:AB48)</f>
        <v>6.9813399131341933E-7</v>
      </c>
      <c r="AC49" s="170">
        <f t="shared" si="63"/>
        <v>1.6473712759012709E-3</v>
      </c>
      <c r="AD49" s="170">
        <f t="shared" si="63"/>
        <v>1.4906712616185996E-6</v>
      </c>
      <c r="AE49" s="170">
        <f t="shared" si="63"/>
        <v>9.7847637009635985E-4</v>
      </c>
      <c r="AF49" s="170">
        <f t="shared" si="63"/>
        <v>9.6410351116546882E-3</v>
      </c>
      <c r="AG49" s="170">
        <f t="shared" si="63"/>
        <v>1.7232622569927489E-5</v>
      </c>
      <c r="AH49" s="170">
        <f t="shared" si="63"/>
        <v>7.532367859942893E-4</v>
      </c>
      <c r="AI49" s="170">
        <f t="shared" si="63"/>
        <v>3.4233487401346939E-5</v>
      </c>
      <c r="AJ49" s="170">
        <f t="shared" si="63"/>
        <v>1.0821696142521063E-6</v>
      </c>
      <c r="AK49" s="170">
        <f t="shared" si="63"/>
        <v>2.761018301137453E-2</v>
      </c>
      <c r="AL49" s="170">
        <f t="shared" si="63"/>
        <v>0</v>
      </c>
    </row>
    <row r="50" spans="1:38" x14ac:dyDescent="0.2">
      <c r="B50" s="46"/>
      <c r="C50" s="111"/>
      <c r="D50" s="45"/>
      <c r="E50" s="45"/>
      <c r="F50" s="45"/>
      <c r="G50" s="112"/>
      <c r="H50" s="113"/>
      <c r="I50" s="114"/>
      <c r="J50" s="113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</row>
    <row r="51" spans="1:38" x14ac:dyDescent="0.2">
      <c r="A51" s="94"/>
      <c r="B51" s="95"/>
      <c r="C51" s="97"/>
      <c r="D51" s="96"/>
      <c r="E51" s="96"/>
      <c r="F51" s="96"/>
      <c r="G51" s="95"/>
      <c r="H51" s="96"/>
    </row>
    <row r="52" spans="1:38" ht="18" thickBot="1" x14ac:dyDescent="0.25">
      <c r="A52" s="94"/>
      <c r="B52" s="95"/>
      <c r="C52" s="97"/>
      <c r="D52" s="96"/>
      <c r="E52" s="96"/>
      <c r="F52" s="96"/>
      <c r="G52" s="95"/>
      <c r="H52" s="96"/>
      <c r="J52" s="49" t="s">
        <v>99</v>
      </c>
      <c r="K52" s="50" t="s">
        <v>40</v>
      </c>
      <c r="L52" s="50" t="s">
        <v>41</v>
      </c>
      <c r="M52" s="50" t="s">
        <v>42</v>
      </c>
      <c r="N52" s="50" t="s">
        <v>43</v>
      </c>
      <c r="O52" s="50" t="s">
        <v>100</v>
      </c>
      <c r="P52" s="50" t="s">
        <v>45</v>
      </c>
      <c r="Q52" s="50" t="s">
        <v>101</v>
      </c>
      <c r="R52" s="50" t="s">
        <v>47</v>
      </c>
      <c r="S52" s="50" t="s">
        <v>48</v>
      </c>
      <c r="T52" s="50" t="s">
        <v>49</v>
      </c>
      <c r="U52" s="50" t="s">
        <v>24</v>
      </c>
      <c r="V52" s="50" t="s">
        <v>102</v>
      </c>
      <c r="Z52" s="49" t="s">
        <v>99</v>
      </c>
      <c r="AA52" s="50" t="s">
        <v>40</v>
      </c>
      <c r="AB52" s="50" t="s">
        <v>41</v>
      </c>
      <c r="AC52" s="50" t="s">
        <v>42</v>
      </c>
      <c r="AD52" s="50" t="s">
        <v>43</v>
      </c>
      <c r="AE52" s="50" t="s">
        <v>100</v>
      </c>
      <c r="AF52" s="50" t="s">
        <v>45</v>
      </c>
      <c r="AG52" s="50" t="s">
        <v>101</v>
      </c>
      <c r="AH52" s="50" t="s">
        <v>47</v>
      </c>
      <c r="AI52" s="50" t="s">
        <v>48</v>
      </c>
      <c r="AJ52" s="50" t="s">
        <v>49</v>
      </c>
      <c r="AK52" s="50" t="s">
        <v>24</v>
      </c>
      <c r="AL52" s="50" t="s">
        <v>102</v>
      </c>
    </row>
    <row r="53" spans="1:38" ht="16" thickTop="1" x14ac:dyDescent="0.2">
      <c r="A53" s="94"/>
      <c r="B53" s="95"/>
      <c r="C53" s="97"/>
      <c r="D53" s="96"/>
      <c r="E53" s="96"/>
      <c r="F53" s="96"/>
      <c r="G53" s="95"/>
      <c r="H53" s="96"/>
      <c r="J53" s="51" t="s">
        <v>0</v>
      </c>
      <c r="K53" s="52">
        <f t="shared" ref="K53:V53" si="64">K13*1000</f>
        <v>6.1433357261053514</v>
      </c>
      <c r="L53" s="52">
        <f t="shared" si="64"/>
        <v>5.9094562677992175E-4</v>
      </c>
      <c r="M53" s="52">
        <f t="shared" si="64"/>
        <v>2.0225514195113453E-2</v>
      </c>
      <c r="N53" s="52">
        <f t="shared" si="64"/>
        <v>1.0505593224810737E-3</v>
      </c>
      <c r="O53" s="52">
        <f t="shared" si="64"/>
        <v>1.5621287190407975</v>
      </c>
      <c r="P53" s="52">
        <f t="shared" si="64"/>
        <v>10.729925459074929</v>
      </c>
      <c r="Q53" s="52">
        <f t="shared" si="64"/>
        <v>1.6840292224103097E-2</v>
      </c>
      <c r="R53" s="52">
        <f t="shared" si="64"/>
        <v>6.5499883533107432E-3</v>
      </c>
      <c r="S53" s="52">
        <f t="shared" si="64"/>
        <v>8.4009084481742307E-3</v>
      </c>
      <c r="T53" s="52">
        <f t="shared" si="64"/>
        <v>1.366172690420081E-3</v>
      </c>
      <c r="U53" s="52">
        <f t="shared" si="64"/>
        <v>24.928852406860642</v>
      </c>
      <c r="V53" s="52">
        <f t="shared" si="64"/>
        <v>4.3595308118493739</v>
      </c>
      <c r="Z53" s="51" t="s">
        <v>0</v>
      </c>
      <c r="AA53" s="52">
        <f t="shared" ref="AA53:AL53" si="65">AA13*1000</f>
        <v>6.6669365743326781</v>
      </c>
      <c r="AB53" s="52">
        <f t="shared" si="65"/>
        <v>6.413123404406054E-4</v>
      </c>
      <c r="AC53" s="52">
        <f t="shared" si="65"/>
        <v>2.1949349072539072E-2</v>
      </c>
      <c r="AD53" s="52">
        <f t="shared" si="65"/>
        <v>1.1400992364445485E-3</v>
      </c>
      <c r="AE53" s="52">
        <f t="shared" si="65"/>
        <v>1.6952700544319803</v>
      </c>
      <c r="AF53" s="52">
        <f t="shared" si="65"/>
        <v>11.644444593673708</v>
      </c>
      <c r="AG53" s="52">
        <f t="shared" si="65"/>
        <v>1.8275602239062418E-2</v>
      </c>
      <c r="AH53" s="52">
        <f t="shared" si="65"/>
        <v>7.1082484925212757E-3</v>
      </c>
      <c r="AI53" s="52">
        <f t="shared" si="65"/>
        <v>9.1169238159576164E-3</v>
      </c>
      <c r="AJ53" s="52">
        <f t="shared" si="65"/>
        <v>1.4826125549206096E-3</v>
      </c>
      <c r="AK53" s="52">
        <f t="shared" si="65"/>
        <v>27.053556126063214</v>
      </c>
      <c r="AL53" s="52">
        <f t="shared" si="65"/>
        <v>0</v>
      </c>
    </row>
    <row r="54" spans="1:38" x14ac:dyDescent="0.2">
      <c r="A54" s="94"/>
      <c r="B54" s="95"/>
      <c r="C54" s="97"/>
      <c r="D54" s="96"/>
      <c r="E54" s="96"/>
      <c r="F54" s="96"/>
      <c r="G54" s="95"/>
      <c r="H54" s="96"/>
      <c r="J54" s="51" t="s">
        <v>4</v>
      </c>
      <c r="K54" s="52">
        <f t="shared" ref="K54:V54" si="66">K20*1000</f>
        <v>6.6027337948993372</v>
      </c>
      <c r="L54" s="52">
        <f t="shared" si="66"/>
        <v>5.8697529924943881E-4</v>
      </c>
      <c r="M54" s="52">
        <f t="shared" si="66"/>
        <v>2.2446803992461597E-2</v>
      </c>
      <c r="N54" s="52">
        <f t="shared" si="66"/>
        <v>1.0040855075151428E-3</v>
      </c>
      <c r="O54" s="52">
        <f t="shared" si="66"/>
        <v>1.409402843403827</v>
      </c>
      <c r="P54" s="52">
        <f t="shared" si="66"/>
        <v>10.375423223633616</v>
      </c>
      <c r="Q54" s="52">
        <f t="shared" si="66"/>
        <v>1.3830394680124284E-2</v>
      </c>
      <c r="R54" s="52">
        <f t="shared" si="66"/>
        <v>6.1526309061011577E-3</v>
      </c>
      <c r="S54" s="52">
        <f t="shared" si="66"/>
        <v>9.9610433025060958E-3</v>
      </c>
      <c r="T54" s="52">
        <f t="shared" si="66"/>
        <v>1.5253683924244608E-3</v>
      </c>
      <c r="U54" s="52">
        <f t="shared" si="66"/>
        <v>25.322892545073898</v>
      </c>
      <c r="V54" s="52">
        <f t="shared" si="66"/>
        <v>4.2496544382900785</v>
      </c>
      <c r="Z54" s="51" t="s">
        <v>4</v>
      </c>
      <c r="AA54" s="52">
        <f t="shared" ref="AA54:AL54" si="67">AA20*1000</f>
        <v>7.1501300530882972</v>
      </c>
      <c r="AB54" s="52">
        <f t="shared" si="67"/>
        <v>6.3563818532652127E-4</v>
      </c>
      <c r="AC54" s="52">
        <f t="shared" si="67"/>
        <v>2.4307744762672043E-2</v>
      </c>
      <c r="AD54" s="52">
        <f t="shared" si="67"/>
        <v>1.0873287014388699E-3</v>
      </c>
      <c r="AE54" s="52">
        <f t="shared" si="67"/>
        <v>1.5262486631393017</v>
      </c>
      <c r="AF54" s="52">
        <f t="shared" si="67"/>
        <v>11.235592363593689</v>
      </c>
      <c r="AG54" s="52">
        <f t="shared" si="67"/>
        <v>1.4976996456349909E-2</v>
      </c>
      <c r="AH54" s="52">
        <f t="shared" si="67"/>
        <v>6.6627116151885485E-3</v>
      </c>
      <c r="AI54" s="52">
        <f t="shared" si="67"/>
        <v>1.0786858487674128E-2</v>
      </c>
      <c r="AJ54" s="52">
        <f t="shared" si="67"/>
        <v>1.6518282765133647E-3</v>
      </c>
      <c r="AK54" s="52">
        <f t="shared" si="67"/>
        <v>27.422273961359803</v>
      </c>
      <c r="AL54" s="52">
        <f t="shared" si="67"/>
        <v>0</v>
      </c>
    </row>
    <row r="55" spans="1:38" x14ac:dyDescent="0.2">
      <c r="A55" s="94"/>
      <c r="B55" s="95"/>
      <c r="C55" s="97"/>
      <c r="D55" s="96"/>
      <c r="E55" s="96"/>
      <c r="F55" s="96"/>
      <c r="G55" s="95"/>
      <c r="H55" s="96"/>
      <c r="J55" s="51" t="s">
        <v>7</v>
      </c>
      <c r="K55" s="53">
        <f t="shared" ref="K55:V55" si="68">K27*1000</f>
        <v>6.4625754663624368</v>
      </c>
      <c r="L55" s="53">
        <f t="shared" si="68"/>
        <v>6.6193760372317836E-4</v>
      </c>
      <c r="M55" s="53">
        <f t="shared" si="68"/>
        <v>0.89914901970278349</v>
      </c>
      <c r="N55" s="53">
        <f t="shared" si="68"/>
        <v>1.883247252897543E-3</v>
      </c>
      <c r="O55" s="53">
        <f t="shared" si="68"/>
        <v>1.1508050360569559</v>
      </c>
      <c r="P55" s="53">
        <f t="shared" si="68"/>
        <v>10.83354026196475</v>
      </c>
      <c r="Q55" s="53">
        <f t="shared" si="68"/>
        <v>1.8905226097313245E-2</v>
      </c>
      <c r="R55" s="53">
        <f t="shared" si="68"/>
        <v>2.7640096715285833E-2</v>
      </c>
      <c r="S55" s="53">
        <f t="shared" si="68"/>
        <v>9.2218622138802511E-3</v>
      </c>
      <c r="T55" s="53">
        <f t="shared" si="68"/>
        <v>1.6747183520403051E-3</v>
      </c>
      <c r="U55" s="53">
        <f t="shared" si="68"/>
        <v>26.3403000724186</v>
      </c>
      <c r="V55" s="53">
        <f t="shared" si="68"/>
        <v>2.3697364720565912</v>
      </c>
      <c r="Z55" s="51" t="s">
        <v>7</v>
      </c>
      <c r="AA55" s="53">
        <f t="shared" ref="AA55:AL55" si="69">AA27*1000</f>
        <v>6.750771311439471</v>
      </c>
      <c r="AB55" s="53">
        <f t="shared" si="69"/>
        <v>6.9145643380666595E-4</v>
      </c>
      <c r="AC55" s="53">
        <f t="shared" si="69"/>
        <v>0.93924619348933358</v>
      </c>
      <c r="AD55" s="53">
        <f t="shared" si="69"/>
        <v>1.967229875052252E-3</v>
      </c>
      <c r="AE55" s="53">
        <f t="shared" si="69"/>
        <v>1.2021247044479264</v>
      </c>
      <c r="AF55" s="53">
        <f t="shared" si="69"/>
        <v>11.316657450649647</v>
      </c>
      <c r="AG55" s="53">
        <f t="shared" si="69"/>
        <v>1.9748296733756322E-2</v>
      </c>
      <c r="AH55" s="53">
        <f t="shared" si="69"/>
        <v>2.8872695246991091E-2</v>
      </c>
      <c r="AI55" s="53">
        <f t="shared" si="69"/>
        <v>9.6331072953104724E-3</v>
      </c>
      <c r="AJ55" s="53">
        <f t="shared" si="69"/>
        <v>1.7494017152357433E-3</v>
      </c>
      <c r="AK55" s="53">
        <f t="shared" si="69"/>
        <v>27.514934717455272</v>
      </c>
      <c r="AL55" s="53">
        <f t="shared" si="69"/>
        <v>0</v>
      </c>
    </row>
    <row r="56" spans="1:38" x14ac:dyDescent="0.2">
      <c r="A56" s="94"/>
      <c r="B56" s="95"/>
      <c r="C56" s="97"/>
      <c r="D56" s="96"/>
      <c r="E56" s="96"/>
      <c r="F56" s="96"/>
      <c r="G56" s="95"/>
      <c r="H56" s="96"/>
      <c r="J56" s="51" t="s">
        <v>11</v>
      </c>
      <c r="K56" s="53">
        <f t="shared" ref="K56:V56" si="70">K35*1000</f>
        <v>6.4757088129342817</v>
      </c>
      <c r="L56" s="53">
        <f t="shared" si="70"/>
        <v>6.2687980916524013E-4</v>
      </c>
      <c r="M56" s="53">
        <f t="shared" si="70"/>
        <v>1.8217235401739555</v>
      </c>
      <c r="N56" s="53">
        <f t="shared" si="70"/>
        <v>1.6846550976519323E-3</v>
      </c>
      <c r="O56" s="53">
        <f t="shared" si="70"/>
        <v>0.67578812163177526</v>
      </c>
      <c r="P56" s="53">
        <f t="shared" si="70"/>
        <v>6.5040871132119227</v>
      </c>
      <c r="Q56" s="53">
        <f t="shared" si="70"/>
        <v>1.3300267403725117E-2</v>
      </c>
      <c r="R56" s="53">
        <f t="shared" si="70"/>
        <v>2.1208856035955792</v>
      </c>
      <c r="S56" s="53">
        <f t="shared" si="70"/>
        <v>1.7964854783029942E-2</v>
      </c>
      <c r="T56" s="53">
        <f t="shared" si="70"/>
        <v>2.5703324219885043E-3</v>
      </c>
      <c r="U56" s="53">
        <f t="shared" si="70"/>
        <v>25.018003680440007</v>
      </c>
      <c r="V56" s="53">
        <f t="shared" si="70"/>
        <v>4.8032691641290999</v>
      </c>
      <c r="Z56" s="51" t="s">
        <v>11</v>
      </c>
      <c r="AA56" s="53">
        <f t="shared" ref="AA56:AL56" si="71">AA35*1000</f>
        <v>7.0891382864961914</v>
      </c>
      <c r="AB56" s="53">
        <f t="shared" si="71"/>
        <v>6.8626273734056966E-4</v>
      </c>
      <c r="AC56" s="53">
        <f t="shared" si="71"/>
        <v>1.9942913539076754</v>
      </c>
      <c r="AD56" s="53">
        <f t="shared" si="71"/>
        <v>1.8442387230956695E-3</v>
      </c>
      <c r="AE56" s="53">
        <f t="shared" si="71"/>
        <v>0.73980402532157252</v>
      </c>
      <c r="AF56" s="53">
        <f t="shared" si="71"/>
        <v>7.1202047999567863</v>
      </c>
      <c r="AG56" s="53">
        <f t="shared" si="71"/>
        <v>1.456017211336922E-2</v>
      </c>
      <c r="AH56" s="53">
        <f t="shared" si="71"/>
        <v>2.321792373322483</v>
      </c>
      <c r="AI56" s="53">
        <f t="shared" si="71"/>
        <v>1.9666625466442857E-2</v>
      </c>
      <c r="AJ56" s="53">
        <f t="shared" si="71"/>
        <v>2.8138142878423636E-3</v>
      </c>
      <c r="AK56" s="53">
        <f t="shared" si="71"/>
        <v>27.387903450579348</v>
      </c>
      <c r="AL56" s="53">
        <f t="shared" si="71"/>
        <v>0</v>
      </c>
    </row>
    <row r="57" spans="1:38" x14ac:dyDescent="0.2">
      <c r="A57" s="94"/>
      <c r="B57" s="95"/>
      <c r="C57" s="97"/>
      <c r="D57" s="96"/>
      <c r="E57" s="96"/>
      <c r="F57" s="96"/>
      <c r="G57" s="95"/>
      <c r="H57" s="96"/>
      <c r="J57" s="54" t="s">
        <v>13</v>
      </c>
      <c r="K57" s="55">
        <f t="shared" ref="K57:V57" si="72">K44*1000</f>
        <v>6.5541645485859963</v>
      </c>
      <c r="L57" s="55">
        <f t="shared" si="72"/>
        <v>5.9899704584629376E-4</v>
      </c>
      <c r="M57" s="55">
        <f t="shared" si="72"/>
        <v>2.9356137803952307</v>
      </c>
      <c r="N57" s="55">
        <f t="shared" si="72"/>
        <v>1.4601261729737273E-3</v>
      </c>
      <c r="O57" s="55">
        <f t="shared" si="72"/>
        <v>0.53569039162597853</v>
      </c>
      <c r="P57" s="55">
        <f t="shared" si="72"/>
        <v>5.0921015655146125</v>
      </c>
      <c r="Q57" s="55">
        <f t="shared" si="72"/>
        <v>1.1221461109780596E-2</v>
      </c>
      <c r="R57" s="55">
        <f t="shared" si="72"/>
        <v>2.399258117969588</v>
      </c>
      <c r="S57" s="55">
        <f t="shared" si="72"/>
        <v>4.1709731652707735E-2</v>
      </c>
      <c r="T57" s="55">
        <f t="shared" si="72"/>
        <v>2.7014941345774E-3</v>
      </c>
      <c r="U57" s="55">
        <f t="shared" si="72"/>
        <v>25.577369401633653</v>
      </c>
      <c r="V57" s="55">
        <f t="shared" si="72"/>
        <v>4.2123768152972474</v>
      </c>
      <c r="Z57" s="54" t="s">
        <v>13</v>
      </c>
      <c r="AA57" s="55">
        <f t="shared" ref="AA57:AL57" si="73">AA44*1000</f>
        <v>7.0923763993979874</v>
      </c>
      <c r="AB57" s="55">
        <f t="shared" si="73"/>
        <v>6.4818520801188985E-4</v>
      </c>
      <c r="AC57" s="55">
        <f t="shared" si="73"/>
        <v>3.1766791540676946</v>
      </c>
      <c r="AD57" s="55">
        <f t="shared" si="73"/>
        <v>1.580028138227981E-3</v>
      </c>
      <c r="AE57" s="55">
        <f t="shared" si="73"/>
        <v>0.57967996726173499</v>
      </c>
      <c r="AF57" s="55">
        <f t="shared" si="73"/>
        <v>5.5102524049971997</v>
      </c>
      <c r="AG57" s="55">
        <f t="shared" si="73"/>
        <v>1.2142939859351014E-2</v>
      </c>
      <c r="AH57" s="55">
        <f t="shared" si="73"/>
        <v>2.5962792856066885</v>
      </c>
      <c r="AI57" s="55">
        <f t="shared" si="73"/>
        <v>4.5134832091255371E-2</v>
      </c>
      <c r="AJ57" s="55">
        <f t="shared" si="73"/>
        <v>2.9233341795366491E-3</v>
      </c>
      <c r="AK57" s="55">
        <f t="shared" si="73"/>
        <v>27.677719983696026</v>
      </c>
      <c r="AL57" s="55">
        <f t="shared" si="73"/>
        <v>0</v>
      </c>
    </row>
    <row r="58" spans="1:38" x14ac:dyDescent="0.2">
      <c r="A58" s="94"/>
      <c r="B58" s="95"/>
      <c r="C58" s="97"/>
      <c r="D58" s="96"/>
      <c r="E58" s="96"/>
      <c r="F58" s="96"/>
      <c r="G58" s="95"/>
      <c r="H58" s="96"/>
      <c r="J58" s="121" t="s">
        <v>147</v>
      </c>
      <c r="K58" s="122">
        <f t="shared" ref="K58:V58" si="74">K49*1000</f>
        <v>6.8639275519122513</v>
      </c>
      <c r="L58" s="122">
        <f t="shared" si="74"/>
        <v>6.9813399131341935E-4</v>
      </c>
      <c r="M58" s="122">
        <f t="shared" si="74"/>
        <v>1.6473712759012709</v>
      </c>
      <c r="N58" s="122">
        <f t="shared" si="74"/>
        <v>1.4906712616185997E-3</v>
      </c>
      <c r="O58" s="122">
        <f t="shared" si="74"/>
        <v>0.9784763700963599</v>
      </c>
      <c r="P58" s="122">
        <f t="shared" si="74"/>
        <v>9.6410351116546877</v>
      </c>
      <c r="Q58" s="122">
        <f t="shared" si="74"/>
        <v>1.723262256992749E-2</v>
      </c>
      <c r="R58" s="122">
        <f t="shared" si="74"/>
        <v>0.75323678599428934</v>
      </c>
      <c r="S58" s="122">
        <f t="shared" si="74"/>
        <v>3.4233487401346942E-2</v>
      </c>
      <c r="T58" s="122">
        <f t="shared" si="74"/>
        <v>1.0821696142521062E-3</v>
      </c>
      <c r="U58" s="122">
        <f t="shared" si="74"/>
        <v>27.610183011374531</v>
      </c>
      <c r="V58" s="122">
        <f t="shared" si="74"/>
        <v>0</v>
      </c>
      <c r="Z58" s="121" t="s">
        <v>147</v>
      </c>
      <c r="AA58" s="122">
        <f t="shared" ref="AA58:AL58" si="75">AA49*1000</f>
        <v>6.8639275519122513</v>
      </c>
      <c r="AB58" s="122">
        <f t="shared" si="75"/>
        <v>6.9813399131341935E-4</v>
      </c>
      <c r="AC58" s="122">
        <f t="shared" si="75"/>
        <v>1.6473712759012709</v>
      </c>
      <c r="AD58" s="122">
        <f t="shared" si="75"/>
        <v>1.4906712616185997E-3</v>
      </c>
      <c r="AE58" s="122">
        <f t="shared" si="75"/>
        <v>0.9784763700963599</v>
      </c>
      <c r="AF58" s="122">
        <f t="shared" si="75"/>
        <v>9.6410351116546877</v>
      </c>
      <c r="AG58" s="122">
        <f t="shared" si="75"/>
        <v>1.723262256992749E-2</v>
      </c>
      <c r="AH58" s="122">
        <f t="shared" si="75"/>
        <v>0.75323678599428934</v>
      </c>
      <c r="AI58" s="122">
        <f t="shared" si="75"/>
        <v>3.4233487401346942E-2</v>
      </c>
      <c r="AJ58" s="122">
        <f t="shared" si="75"/>
        <v>1.0821696142521062E-3</v>
      </c>
      <c r="AK58" s="122">
        <f t="shared" si="75"/>
        <v>27.610183011374531</v>
      </c>
      <c r="AL58" s="122">
        <f t="shared" si="75"/>
        <v>0</v>
      </c>
    </row>
    <row r="59" spans="1:38" x14ac:dyDescent="0.2">
      <c r="A59" s="94"/>
      <c r="B59" s="95"/>
      <c r="C59" s="97"/>
      <c r="D59" s="96"/>
      <c r="E59" s="96"/>
      <c r="F59" s="96"/>
      <c r="G59" s="95"/>
      <c r="H59" s="96"/>
      <c r="J59" s="129"/>
      <c r="K59" s="23"/>
    </row>
    <row r="60" spans="1:38" ht="18" thickBot="1" x14ac:dyDescent="0.25">
      <c r="A60" s="94"/>
      <c r="B60" s="95"/>
      <c r="C60" s="97"/>
      <c r="D60" s="96"/>
      <c r="E60" s="96"/>
      <c r="F60" s="96"/>
      <c r="G60" s="95"/>
      <c r="H60" s="96"/>
      <c r="J60" s="32" t="s">
        <v>86</v>
      </c>
      <c r="K60" s="33" t="s">
        <v>40</v>
      </c>
      <c r="L60" s="33" t="s">
        <v>42</v>
      </c>
      <c r="M60" s="33" t="s">
        <v>83</v>
      </c>
      <c r="N60" s="33" t="s">
        <v>45</v>
      </c>
      <c r="O60" s="33" t="s">
        <v>47</v>
      </c>
      <c r="P60" s="33" t="s">
        <v>85</v>
      </c>
      <c r="Z60" s="32" t="s">
        <v>86</v>
      </c>
      <c r="AA60" s="33" t="s">
        <v>40</v>
      </c>
      <c r="AB60" s="33" t="s">
        <v>42</v>
      </c>
      <c r="AC60" s="33" t="s">
        <v>83</v>
      </c>
      <c r="AD60" s="33" t="s">
        <v>45</v>
      </c>
      <c r="AE60" s="33" t="s">
        <v>47</v>
      </c>
      <c r="AF60" s="33" t="s">
        <v>85</v>
      </c>
    </row>
    <row r="61" spans="1:38" ht="16" thickTop="1" x14ac:dyDescent="0.2">
      <c r="A61" s="94"/>
      <c r="B61" s="95"/>
      <c r="C61" s="97"/>
      <c r="D61" s="96"/>
      <c r="E61" s="96"/>
      <c r="F61" s="96"/>
      <c r="G61" s="95"/>
      <c r="H61" s="96"/>
      <c r="J61" s="28" t="s">
        <v>0</v>
      </c>
      <c r="K61" s="36">
        <f>K53</f>
        <v>6.1433357261053514</v>
      </c>
      <c r="L61" s="36">
        <f>M53</f>
        <v>2.0225514195113453E-2</v>
      </c>
      <c r="M61" s="36">
        <f>O53</f>
        <v>1.5621287190407975</v>
      </c>
      <c r="N61" s="36">
        <f>P53</f>
        <v>10.729925459074929</v>
      </c>
      <c r="O61" s="36">
        <f>R53</f>
        <v>6.5499883533107432E-3</v>
      </c>
      <c r="P61" s="36">
        <f>V53</f>
        <v>4.3595308118493739</v>
      </c>
      <c r="Z61" s="28" t="s">
        <v>0</v>
      </c>
      <c r="AA61" s="36">
        <f>AA53</f>
        <v>6.6669365743326781</v>
      </c>
      <c r="AB61" s="36">
        <f>AC53</f>
        <v>2.1949349072539072E-2</v>
      </c>
      <c r="AC61" s="36">
        <f>AE53</f>
        <v>1.6952700544319803</v>
      </c>
      <c r="AD61" s="36">
        <f>AF53</f>
        <v>11.644444593673708</v>
      </c>
      <c r="AE61" s="36">
        <f>AH53</f>
        <v>7.1082484925212757E-3</v>
      </c>
      <c r="AF61" s="36">
        <f>AL53</f>
        <v>0</v>
      </c>
    </row>
    <row r="62" spans="1:38" x14ac:dyDescent="0.2">
      <c r="A62" s="94"/>
      <c r="B62" s="95"/>
      <c r="C62" s="97"/>
      <c r="D62" s="96"/>
      <c r="E62" s="96"/>
      <c r="F62" s="96"/>
      <c r="G62" s="95"/>
      <c r="H62" s="96"/>
      <c r="J62" s="28" t="s">
        <v>4</v>
      </c>
      <c r="K62" s="18">
        <f t="shared" ref="K62:K66" si="76">K54</f>
        <v>6.6027337948993372</v>
      </c>
      <c r="L62" s="18">
        <f t="shared" ref="L62:L65" si="77">M54</f>
        <v>2.2446803992461597E-2</v>
      </c>
      <c r="M62" s="18">
        <f t="shared" ref="M62:N62" si="78">O54</f>
        <v>1.409402843403827</v>
      </c>
      <c r="N62" s="18">
        <f t="shared" si="78"/>
        <v>10.375423223633616</v>
      </c>
      <c r="O62" s="18">
        <f t="shared" ref="O62:O65" si="79">R54</f>
        <v>6.1526309061011577E-3</v>
      </c>
      <c r="P62" s="18">
        <f t="shared" ref="P62:P65" si="80">V54</f>
        <v>4.2496544382900785</v>
      </c>
      <c r="Z62" s="28" t="s">
        <v>4</v>
      </c>
      <c r="AA62" s="18">
        <f t="shared" ref="AA62:AA66" si="81">AA54</f>
        <v>7.1501300530882972</v>
      </c>
      <c r="AB62" s="18">
        <f t="shared" ref="AB62:AB66" si="82">AC54</f>
        <v>2.4307744762672043E-2</v>
      </c>
      <c r="AC62" s="18">
        <f t="shared" ref="AC62:AC66" si="83">AE54</f>
        <v>1.5262486631393017</v>
      </c>
      <c r="AD62" s="18">
        <f t="shared" ref="AD62:AD66" si="84">AF54</f>
        <v>11.235592363593689</v>
      </c>
      <c r="AE62" s="18">
        <f t="shared" ref="AE62:AE66" si="85">AH54</f>
        <v>6.6627116151885485E-3</v>
      </c>
      <c r="AF62" s="18">
        <f t="shared" ref="AF62:AF66" si="86">AL54</f>
        <v>0</v>
      </c>
    </row>
    <row r="63" spans="1:38" x14ac:dyDescent="0.2">
      <c r="A63" s="94"/>
      <c r="B63" s="95"/>
      <c r="C63" s="97"/>
      <c r="D63" s="96"/>
      <c r="E63" s="96"/>
      <c r="F63" s="96"/>
      <c r="G63" s="95"/>
      <c r="H63" s="96"/>
      <c r="J63" s="28" t="s">
        <v>7</v>
      </c>
      <c r="K63" s="18">
        <f t="shared" si="76"/>
        <v>6.4625754663624368</v>
      </c>
      <c r="L63" s="18">
        <f t="shared" si="77"/>
        <v>0.89914901970278349</v>
      </c>
      <c r="M63" s="18">
        <f t="shared" ref="M63:N63" si="87">O55</f>
        <v>1.1508050360569559</v>
      </c>
      <c r="N63" s="18">
        <f t="shared" si="87"/>
        <v>10.83354026196475</v>
      </c>
      <c r="O63" s="18">
        <f t="shared" si="79"/>
        <v>2.7640096715285833E-2</v>
      </c>
      <c r="P63" s="18">
        <f t="shared" si="80"/>
        <v>2.3697364720565912</v>
      </c>
      <c r="Z63" s="28" t="s">
        <v>7</v>
      </c>
      <c r="AA63" s="18">
        <f t="shared" si="81"/>
        <v>6.750771311439471</v>
      </c>
      <c r="AB63" s="18">
        <f t="shared" si="82"/>
        <v>0.93924619348933358</v>
      </c>
      <c r="AC63" s="18">
        <f t="shared" si="83"/>
        <v>1.2021247044479264</v>
      </c>
      <c r="AD63" s="18">
        <f t="shared" si="84"/>
        <v>11.316657450649647</v>
      </c>
      <c r="AE63" s="18">
        <f t="shared" si="85"/>
        <v>2.8872695246991091E-2</v>
      </c>
      <c r="AF63" s="18">
        <f t="shared" si="86"/>
        <v>0</v>
      </c>
    </row>
    <row r="64" spans="1:38" x14ac:dyDescent="0.2">
      <c r="A64" s="94"/>
      <c r="B64" s="95"/>
      <c r="C64" s="97"/>
      <c r="D64" s="96"/>
      <c r="E64" s="96"/>
      <c r="F64" s="96"/>
      <c r="G64" s="95"/>
      <c r="H64" s="96"/>
      <c r="J64" s="28" t="s">
        <v>11</v>
      </c>
      <c r="K64" s="18">
        <f t="shared" si="76"/>
        <v>6.4757088129342817</v>
      </c>
      <c r="L64" s="18">
        <f t="shared" si="77"/>
        <v>1.8217235401739555</v>
      </c>
      <c r="M64" s="18">
        <f t="shared" ref="M64:N64" si="88">O56</f>
        <v>0.67578812163177526</v>
      </c>
      <c r="N64" s="18">
        <f t="shared" si="88"/>
        <v>6.5040871132119227</v>
      </c>
      <c r="O64" s="18">
        <f t="shared" si="79"/>
        <v>2.1208856035955792</v>
      </c>
      <c r="P64" s="18">
        <f t="shared" si="80"/>
        <v>4.8032691641290999</v>
      </c>
      <c r="Z64" s="28" t="s">
        <v>11</v>
      </c>
      <c r="AA64" s="18">
        <f t="shared" si="81"/>
        <v>7.0891382864961914</v>
      </c>
      <c r="AB64" s="18">
        <f t="shared" si="82"/>
        <v>1.9942913539076754</v>
      </c>
      <c r="AC64" s="18">
        <f t="shared" si="83"/>
        <v>0.73980402532157252</v>
      </c>
      <c r="AD64" s="18">
        <f t="shared" si="84"/>
        <v>7.1202047999567863</v>
      </c>
      <c r="AE64" s="18">
        <f t="shared" si="85"/>
        <v>2.321792373322483</v>
      </c>
      <c r="AF64" s="18">
        <f t="shared" si="86"/>
        <v>0</v>
      </c>
    </row>
    <row r="65" spans="1:35" x14ac:dyDescent="0.2">
      <c r="A65" s="94"/>
      <c r="B65" s="95"/>
      <c r="C65" s="97"/>
      <c r="D65" s="96"/>
      <c r="E65" s="96"/>
      <c r="F65" s="96"/>
      <c r="G65" s="95"/>
      <c r="H65" s="96"/>
      <c r="J65" s="34" t="s">
        <v>13</v>
      </c>
      <c r="K65" s="37">
        <f t="shared" si="76"/>
        <v>6.5541645485859963</v>
      </c>
      <c r="L65" s="37">
        <f t="shared" si="77"/>
        <v>2.9356137803952307</v>
      </c>
      <c r="M65" s="37">
        <f t="shared" ref="M65:N65" si="89">O57</f>
        <v>0.53569039162597853</v>
      </c>
      <c r="N65" s="37">
        <f t="shared" si="89"/>
        <v>5.0921015655146125</v>
      </c>
      <c r="O65" s="37">
        <f t="shared" si="79"/>
        <v>2.399258117969588</v>
      </c>
      <c r="P65" s="37">
        <f t="shared" si="80"/>
        <v>4.2123768152972474</v>
      </c>
      <c r="Z65" s="34" t="s">
        <v>13</v>
      </c>
      <c r="AA65" s="37">
        <f t="shared" si="81"/>
        <v>7.0923763993979874</v>
      </c>
      <c r="AB65" s="37">
        <f t="shared" si="82"/>
        <v>3.1766791540676946</v>
      </c>
      <c r="AC65" s="37">
        <f t="shared" si="83"/>
        <v>0.57967996726173499</v>
      </c>
      <c r="AD65" s="37">
        <f t="shared" si="84"/>
        <v>5.5102524049971997</v>
      </c>
      <c r="AE65" s="37">
        <f t="shared" si="85"/>
        <v>2.5962792856066885</v>
      </c>
      <c r="AF65" s="37">
        <f t="shared" si="86"/>
        <v>0</v>
      </c>
    </row>
    <row r="66" spans="1:35" x14ac:dyDescent="0.2">
      <c r="A66" s="94"/>
      <c r="B66" s="95"/>
      <c r="C66" s="97"/>
      <c r="D66" s="96"/>
      <c r="E66" s="96"/>
      <c r="F66" s="96"/>
      <c r="G66" s="95"/>
      <c r="H66" s="96"/>
      <c r="J66" s="126" t="s">
        <v>147</v>
      </c>
      <c r="K66" s="37">
        <f t="shared" si="76"/>
        <v>6.8639275519122513</v>
      </c>
      <c r="L66" s="37">
        <f t="shared" ref="L66" si="90">M58</f>
        <v>1.6473712759012709</v>
      </c>
      <c r="M66" s="37">
        <f t="shared" ref="M66" si="91">O58</f>
        <v>0.9784763700963599</v>
      </c>
      <c r="N66" s="37">
        <f t="shared" ref="N66" si="92">P58</f>
        <v>9.6410351116546877</v>
      </c>
      <c r="O66" s="37">
        <f t="shared" ref="O66" si="93">R58</f>
        <v>0.75323678599428934</v>
      </c>
      <c r="P66" s="37">
        <f t="shared" ref="P66" si="94">V58</f>
        <v>0</v>
      </c>
      <c r="Z66" s="126" t="s">
        <v>147</v>
      </c>
      <c r="AA66" s="37">
        <f t="shared" si="81"/>
        <v>6.8639275519122513</v>
      </c>
      <c r="AB66" s="37">
        <f t="shared" si="82"/>
        <v>1.6473712759012709</v>
      </c>
      <c r="AC66" s="37">
        <f t="shared" si="83"/>
        <v>0.9784763700963599</v>
      </c>
      <c r="AD66" s="37">
        <f t="shared" si="84"/>
        <v>9.6410351116546877</v>
      </c>
      <c r="AE66" s="37">
        <f t="shared" si="85"/>
        <v>0.75323678599428934</v>
      </c>
      <c r="AF66" s="37">
        <f t="shared" si="86"/>
        <v>0</v>
      </c>
    </row>
    <row r="67" spans="1:35" x14ac:dyDescent="0.2">
      <c r="A67" s="94"/>
      <c r="B67" s="95"/>
      <c r="C67" s="97"/>
      <c r="D67" s="96"/>
      <c r="E67" s="96"/>
      <c r="F67" s="96"/>
      <c r="G67" s="95"/>
      <c r="H67" s="96"/>
      <c r="J67" s="29"/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94"/>
    </row>
    <row r="68" spans="1:35" ht="16" thickBot="1" x14ac:dyDescent="0.25">
      <c r="A68" s="94"/>
      <c r="B68" s="95"/>
      <c r="C68" s="97"/>
      <c r="D68" s="96"/>
      <c r="E68" s="96"/>
      <c r="F68" s="96"/>
      <c r="G68" s="95"/>
      <c r="H68" s="96"/>
      <c r="J68" s="32" t="s">
        <v>144</v>
      </c>
      <c r="K68" s="43" t="s">
        <v>135</v>
      </c>
      <c r="L68" s="43" t="s">
        <v>136</v>
      </c>
      <c r="M68" s="43" t="s">
        <v>10</v>
      </c>
      <c r="N68" s="43" t="s">
        <v>137</v>
      </c>
      <c r="O68" s="43" t="s">
        <v>9</v>
      </c>
      <c r="P68" s="43" t="s">
        <v>138</v>
      </c>
      <c r="Q68" s="43" t="s">
        <v>139</v>
      </c>
      <c r="R68" s="136" t="s">
        <v>192</v>
      </c>
      <c r="S68" s="103"/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94"/>
    </row>
    <row r="69" spans="1:35" ht="16" thickTop="1" x14ac:dyDescent="0.2">
      <c r="A69" s="94"/>
      <c r="B69" s="95"/>
      <c r="C69" s="97"/>
      <c r="D69" s="96"/>
      <c r="E69" s="96"/>
      <c r="F69" s="96"/>
      <c r="G69" s="95"/>
      <c r="H69" s="96"/>
      <c r="J69" s="28" t="s">
        <v>0</v>
      </c>
      <c r="K69" s="102">
        <f>E9</f>
        <v>34.362356914993427</v>
      </c>
      <c r="L69" s="103">
        <f>E10</f>
        <v>6.7179583411521859</v>
      </c>
      <c r="M69" s="103">
        <f>E11</f>
        <v>53.230437230249585</v>
      </c>
      <c r="N69" s="103">
        <f>E12</f>
        <v>3.689247513604804</v>
      </c>
      <c r="O69" s="103">
        <f>0</f>
        <v>0</v>
      </c>
      <c r="P69" s="41">
        <f>0</f>
        <v>0</v>
      </c>
      <c r="Q69" s="103">
        <v>0</v>
      </c>
      <c r="R69" s="103">
        <f>E8-F8/100*E8</f>
        <v>2.0000000000000071</v>
      </c>
      <c r="S69" s="103"/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94"/>
    </row>
    <row r="70" spans="1:35" x14ac:dyDescent="0.2">
      <c r="A70" s="94"/>
      <c r="B70" s="95"/>
      <c r="C70" s="97"/>
      <c r="D70" s="96"/>
      <c r="E70" s="96"/>
      <c r="F70" s="96"/>
      <c r="G70" s="95"/>
      <c r="H70" s="96"/>
      <c r="J70" s="28" t="s">
        <v>4</v>
      </c>
      <c r="K70" s="103">
        <f>E17</f>
        <v>28.599291935184382</v>
      </c>
      <c r="L70" s="103">
        <f>0</f>
        <v>0</v>
      </c>
      <c r="M70" s="103">
        <f>E18</f>
        <v>64.059470138599266</v>
      </c>
      <c r="N70" s="103">
        <f>E19</f>
        <v>3.3412379262163587</v>
      </c>
      <c r="O70" s="103">
        <v>0</v>
      </c>
      <c r="P70" s="103">
        <v>0</v>
      </c>
      <c r="Q70" s="103">
        <v>0</v>
      </c>
      <c r="R70" s="103">
        <f>E16-F16/100*E16</f>
        <v>3.9999999999999858</v>
      </c>
      <c r="S70" s="103"/>
      <c r="Y70" s="162"/>
      <c r="Z70" s="162"/>
      <c r="AA70" s="162"/>
      <c r="AB70" s="162"/>
      <c r="AC70" s="162"/>
      <c r="AD70" s="162"/>
      <c r="AE70" s="162"/>
      <c r="AF70" s="162"/>
      <c r="AG70" s="162"/>
      <c r="AH70" s="162"/>
      <c r="AI70" s="94"/>
    </row>
    <row r="71" spans="1:35" x14ac:dyDescent="0.2">
      <c r="A71" s="94"/>
      <c r="B71" s="95"/>
      <c r="C71" s="97"/>
      <c r="D71" s="96"/>
      <c r="E71" s="96"/>
      <c r="F71" s="96"/>
      <c r="G71" s="95"/>
      <c r="H71" s="96"/>
      <c r="J71" s="28" t="s">
        <v>7</v>
      </c>
      <c r="K71" s="103">
        <f>E24</f>
        <v>51.570220387635516</v>
      </c>
      <c r="L71" s="103">
        <v>0</v>
      </c>
      <c r="M71" s="103">
        <f>0</f>
        <v>0</v>
      </c>
      <c r="N71" s="103">
        <f>E26</f>
        <v>0.30157995872179916</v>
      </c>
      <c r="O71" s="103">
        <f>E25</f>
        <v>32.128199653642682</v>
      </c>
      <c r="P71" s="103">
        <v>0</v>
      </c>
      <c r="Q71" s="103">
        <v>0</v>
      </c>
      <c r="R71" s="103">
        <f>E23-F23/100*E23</f>
        <v>16</v>
      </c>
      <c r="S71" s="103"/>
      <c r="Y71" s="162"/>
      <c r="Z71" s="162"/>
      <c r="AA71" s="162"/>
      <c r="AB71" s="162"/>
      <c r="AC71" s="162"/>
      <c r="AD71" s="162"/>
      <c r="AE71" s="162"/>
      <c r="AF71" s="162"/>
      <c r="AG71" s="162"/>
      <c r="AH71" s="162"/>
      <c r="AI71" s="94"/>
    </row>
    <row r="72" spans="1:35" x14ac:dyDescent="0.2">
      <c r="A72" s="94"/>
      <c r="B72" s="95"/>
      <c r="C72" s="97"/>
      <c r="D72" s="96"/>
      <c r="E72" s="96"/>
      <c r="F72" s="96"/>
      <c r="G72" s="95"/>
      <c r="H72" s="96"/>
      <c r="J72" s="28" t="s">
        <v>11</v>
      </c>
      <c r="K72" s="103">
        <f>E31</f>
        <v>8.9026996950338866</v>
      </c>
      <c r="L72" s="103">
        <v>0</v>
      </c>
      <c r="M72" s="103">
        <v>0</v>
      </c>
      <c r="N72" s="103">
        <f>E34</f>
        <v>6.6891869293287401E-2</v>
      </c>
      <c r="O72" s="103">
        <f>E32</f>
        <v>59.018696277467477</v>
      </c>
      <c r="P72" s="103">
        <f>E33</f>
        <v>22.641377486021121</v>
      </c>
      <c r="Q72" s="103">
        <v>0</v>
      </c>
      <c r="R72" s="103">
        <f>E30-F30/100*E30</f>
        <v>9.3703346721842333</v>
      </c>
      <c r="S72" s="103"/>
      <c r="Y72" s="162"/>
      <c r="Z72" s="162"/>
      <c r="AA72" s="162"/>
      <c r="AB72" s="162"/>
      <c r="AC72" s="162"/>
      <c r="AD72" s="162"/>
      <c r="AE72" s="162"/>
      <c r="AF72" s="162"/>
      <c r="AG72" s="162"/>
      <c r="AH72" s="162"/>
      <c r="AI72" s="94"/>
    </row>
    <row r="73" spans="1:35" x14ac:dyDescent="0.2">
      <c r="A73" s="94"/>
      <c r="B73" s="95"/>
      <c r="C73" s="97"/>
      <c r="D73" s="96"/>
      <c r="E73" s="96"/>
      <c r="F73" s="96"/>
      <c r="G73" s="95"/>
      <c r="H73" s="96"/>
      <c r="I73" s="96"/>
      <c r="J73" s="34" t="s">
        <v>13</v>
      </c>
      <c r="K73" s="104">
        <f>E39</f>
        <v>3.7284473056318372</v>
      </c>
      <c r="L73" s="104">
        <v>0</v>
      </c>
      <c r="M73" s="104">
        <v>0</v>
      </c>
      <c r="N73" s="104">
        <f>E43</f>
        <v>1.8907846756403907E-2</v>
      </c>
      <c r="O73" s="104">
        <f>E40</f>
        <v>49.266645657948047</v>
      </c>
      <c r="P73" s="104">
        <f>E41</f>
        <v>18.177043473041312</v>
      </c>
      <c r="Q73" s="104">
        <f>E42</f>
        <v>15.823166614144871</v>
      </c>
      <c r="R73" s="104">
        <f>E38-F38/100*E38</f>
        <v>12.985789102477527</v>
      </c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94"/>
    </row>
    <row r="74" spans="1:35" ht="19" x14ac:dyDescent="0.25">
      <c r="A74" s="94"/>
      <c r="B74" s="95"/>
      <c r="C74" s="97"/>
      <c r="D74" s="96"/>
      <c r="E74" s="98" t="s">
        <v>111</v>
      </c>
      <c r="F74" s="96"/>
      <c r="G74" s="95"/>
      <c r="H74" s="96"/>
      <c r="I74" s="96"/>
      <c r="J74" s="126" t="s">
        <v>147</v>
      </c>
      <c r="K74" s="127">
        <f>E47</f>
        <v>57.243947676337314</v>
      </c>
      <c r="L74" s="127">
        <v>0</v>
      </c>
      <c r="M74" s="127">
        <v>0</v>
      </c>
      <c r="N74" s="127">
        <v>0</v>
      </c>
      <c r="O74" s="127">
        <v>0</v>
      </c>
      <c r="P74" s="127">
        <v>0</v>
      </c>
      <c r="Q74" s="127">
        <f>E48</f>
        <v>19.67912924673962</v>
      </c>
      <c r="R74" s="127">
        <f>E49</f>
        <v>23.076923076923077</v>
      </c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94"/>
    </row>
    <row r="75" spans="1:35" ht="12" customHeight="1" x14ac:dyDescent="0.25">
      <c r="A75" s="94"/>
      <c r="B75" s="95"/>
      <c r="C75" s="97"/>
      <c r="D75" s="96"/>
      <c r="E75" s="98"/>
      <c r="F75" s="96"/>
      <c r="G75" s="95"/>
      <c r="H75" s="96"/>
      <c r="I75" s="167"/>
      <c r="J75" s="167"/>
      <c r="K75" s="105"/>
      <c r="L75" s="105"/>
      <c r="M75" s="105"/>
      <c r="N75" s="105"/>
      <c r="O75" s="105"/>
      <c r="P75" s="105"/>
      <c r="Q75" s="105"/>
      <c r="R75" s="105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94"/>
    </row>
    <row r="76" spans="1:35" x14ac:dyDescent="0.2">
      <c r="A76" s="94"/>
      <c r="B76" s="99" t="s">
        <v>103</v>
      </c>
      <c r="C76" s="97"/>
      <c r="D76" s="96"/>
      <c r="E76" s="96"/>
      <c r="F76" s="96"/>
      <c r="G76" s="95"/>
      <c r="H76" s="96"/>
      <c r="I76" s="167"/>
      <c r="J76" s="167"/>
      <c r="K76" s="105"/>
      <c r="L76" s="105"/>
      <c r="M76" s="105"/>
      <c r="N76" s="105"/>
      <c r="O76" s="105"/>
      <c r="P76" s="105"/>
      <c r="Q76" s="105"/>
      <c r="R76" s="105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94"/>
    </row>
    <row r="77" spans="1:35" x14ac:dyDescent="0.2">
      <c r="A77" s="94"/>
      <c r="B77" s="97" t="s">
        <v>87</v>
      </c>
      <c r="C77" s="94" t="s">
        <v>104</v>
      </c>
      <c r="D77" s="96"/>
      <c r="E77" s="96"/>
      <c r="F77" s="96"/>
      <c r="G77" s="173" t="s">
        <v>15</v>
      </c>
      <c r="H77" s="173"/>
      <c r="I77" s="167"/>
      <c r="J77" s="167"/>
      <c r="K77" s="105"/>
      <c r="L77" s="105"/>
      <c r="M77" s="105"/>
      <c r="N77" s="105"/>
      <c r="O77" s="105"/>
      <c r="P77" s="105"/>
      <c r="Q77" s="105"/>
      <c r="R77" s="105"/>
      <c r="Y77" s="162"/>
      <c r="Z77" s="162"/>
      <c r="AA77" s="162"/>
      <c r="AB77" s="162"/>
      <c r="AC77" s="162"/>
      <c r="AD77" s="162"/>
      <c r="AE77" s="162"/>
      <c r="AF77" s="162"/>
      <c r="AG77" s="162"/>
      <c r="AH77" s="162"/>
      <c r="AI77" s="94"/>
    </row>
    <row r="78" spans="1:35" x14ac:dyDescent="0.2">
      <c r="A78" s="94"/>
      <c r="B78" s="101" t="s">
        <v>88</v>
      </c>
      <c r="C78" s="100" t="s">
        <v>105</v>
      </c>
      <c r="D78" s="96"/>
      <c r="E78" s="96"/>
      <c r="F78" s="96"/>
      <c r="G78" s="173"/>
      <c r="H78" s="173"/>
      <c r="I78" s="167"/>
      <c r="J78" s="167"/>
      <c r="K78" s="105"/>
      <c r="L78" s="105"/>
      <c r="M78" s="105"/>
      <c r="N78" s="105"/>
      <c r="O78" s="105"/>
      <c r="P78" s="105"/>
      <c r="Q78" s="105"/>
      <c r="R78" s="105"/>
      <c r="Y78" s="162"/>
      <c r="Z78" s="162"/>
      <c r="AA78" s="162"/>
      <c r="AB78" s="162"/>
      <c r="AC78" s="162"/>
      <c r="AD78" s="162"/>
      <c r="AE78" s="162"/>
      <c r="AF78" s="162"/>
      <c r="AG78" s="162"/>
      <c r="AH78" s="162"/>
      <c r="AI78" s="94"/>
    </row>
    <row r="79" spans="1:35" x14ac:dyDescent="0.2">
      <c r="A79" s="94"/>
      <c r="B79" s="97" t="s">
        <v>89</v>
      </c>
      <c r="C79" s="94" t="s">
        <v>107</v>
      </c>
      <c r="D79" s="96"/>
      <c r="E79" s="96"/>
      <c r="F79" s="96"/>
      <c r="G79" s="173"/>
      <c r="H79" s="173"/>
      <c r="I79" s="167"/>
      <c r="J79" s="167"/>
      <c r="K79" s="105"/>
      <c r="L79" s="105"/>
      <c r="M79" s="105"/>
      <c r="N79" s="105"/>
      <c r="O79" s="105"/>
      <c r="P79" s="105"/>
      <c r="Q79" s="105"/>
      <c r="R79" s="105"/>
      <c r="Y79" s="162"/>
      <c r="Z79" s="162"/>
      <c r="AA79" s="162"/>
      <c r="AB79" s="162"/>
      <c r="AC79" s="162"/>
      <c r="AD79" s="162"/>
      <c r="AE79" s="162"/>
      <c r="AF79" s="162"/>
      <c r="AG79" s="162"/>
      <c r="AH79" s="162"/>
      <c r="AI79" s="94"/>
    </row>
    <row r="80" spans="1:35" x14ac:dyDescent="0.2">
      <c r="A80" s="94"/>
      <c r="B80" s="97" t="s">
        <v>90</v>
      </c>
      <c r="C80" s="94" t="s">
        <v>108</v>
      </c>
      <c r="D80" s="96"/>
      <c r="E80" s="96"/>
      <c r="F80" s="96"/>
      <c r="G80" s="173"/>
      <c r="H80" s="173"/>
      <c r="I80" s="167"/>
      <c r="J80" s="167"/>
      <c r="K80" s="105"/>
      <c r="L80" s="105"/>
      <c r="M80" s="105"/>
      <c r="N80" s="105"/>
      <c r="O80" s="105"/>
      <c r="P80" s="105"/>
      <c r="Q80" s="105"/>
      <c r="R80" s="105"/>
      <c r="Y80" s="162"/>
      <c r="Z80" s="162"/>
      <c r="AA80" s="162"/>
      <c r="AB80" s="162"/>
      <c r="AC80" s="162"/>
      <c r="AD80" s="162"/>
      <c r="AE80" s="162"/>
      <c r="AF80" s="162"/>
      <c r="AG80" s="162"/>
      <c r="AH80" s="162"/>
      <c r="AI80" s="94"/>
    </row>
    <row r="81" spans="1:35" x14ac:dyDescent="0.2">
      <c r="A81" s="94"/>
      <c r="B81" s="101" t="s">
        <v>91</v>
      </c>
      <c r="C81" s="100" t="s">
        <v>105</v>
      </c>
      <c r="D81" s="96"/>
      <c r="E81" s="96"/>
      <c r="F81" s="96"/>
      <c r="G81" s="173"/>
      <c r="H81" s="173"/>
      <c r="I81" s="167"/>
      <c r="J81" s="167"/>
      <c r="K81" s="105"/>
      <c r="L81" s="105"/>
      <c r="M81" s="105"/>
      <c r="N81" s="105"/>
      <c r="O81" s="105"/>
      <c r="P81" s="105"/>
      <c r="Q81" s="105"/>
      <c r="R81" s="105"/>
      <c r="Y81" s="162"/>
      <c r="Z81" s="162"/>
      <c r="AA81" s="162"/>
      <c r="AB81" s="162"/>
      <c r="AC81" s="162"/>
      <c r="AD81" s="162"/>
      <c r="AE81" s="162"/>
      <c r="AF81" s="162"/>
      <c r="AG81" s="162"/>
      <c r="AH81" s="162"/>
      <c r="AI81" s="94"/>
    </row>
    <row r="82" spans="1:35" ht="12" customHeight="1" x14ac:dyDescent="0.2">
      <c r="A82" s="94"/>
      <c r="B82" s="95"/>
      <c r="C82" s="97"/>
      <c r="D82" s="96"/>
      <c r="E82" s="96"/>
      <c r="F82" s="96"/>
      <c r="G82" s="95"/>
      <c r="H82" s="96"/>
      <c r="I82" s="167"/>
      <c r="J82" s="167"/>
      <c r="K82" s="105"/>
      <c r="L82" s="105"/>
      <c r="M82" s="105"/>
      <c r="N82" s="105"/>
      <c r="O82" s="105"/>
      <c r="P82" s="105"/>
      <c r="Q82" s="105"/>
      <c r="R82" s="105"/>
      <c r="Y82" s="162"/>
      <c r="Z82" s="162"/>
      <c r="AA82" s="162"/>
      <c r="AB82" s="162"/>
      <c r="AC82" s="162"/>
      <c r="AD82" s="162"/>
      <c r="AE82" s="162"/>
      <c r="AF82" s="162"/>
      <c r="AG82" s="162"/>
      <c r="AH82" s="162"/>
      <c r="AI82" s="94"/>
    </row>
    <row r="83" spans="1:35" ht="19" x14ac:dyDescent="0.25">
      <c r="A83" s="94"/>
      <c r="B83" s="95"/>
      <c r="C83" s="97"/>
      <c r="D83" s="96"/>
      <c r="E83" s="98" t="s">
        <v>112</v>
      </c>
      <c r="F83" s="96"/>
      <c r="G83" s="95"/>
      <c r="H83" s="96"/>
      <c r="I83" s="167"/>
      <c r="J83" s="167"/>
      <c r="K83" s="105"/>
      <c r="L83" s="105"/>
      <c r="M83" s="105"/>
      <c r="N83" s="105"/>
      <c r="O83" s="105"/>
      <c r="P83" s="105"/>
      <c r="Q83" s="105"/>
      <c r="R83" s="105"/>
      <c r="Y83" s="162"/>
      <c r="Z83" s="162"/>
      <c r="AA83" s="162"/>
      <c r="AB83" s="162"/>
      <c r="AC83" s="162"/>
      <c r="AD83" s="162"/>
      <c r="AE83" s="162"/>
      <c r="AF83" s="162"/>
      <c r="AG83" s="162"/>
      <c r="AH83" s="162"/>
      <c r="AI83" s="94"/>
    </row>
    <row r="84" spans="1:35" x14ac:dyDescent="0.2">
      <c r="A84" s="94"/>
      <c r="B84" s="95"/>
      <c r="C84" s="97"/>
      <c r="D84" s="96"/>
      <c r="E84" s="96"/>
      <c r="F84" s="96"/>
      <c r="G84" s="95"/>
      <c r="H84" s="96"/>
      <c r="I84" s="167"/>
      <c r="J84" s="167"/>
      <c r="K84" s="105"/>
      <c r="L84" s="105"/>
      <c r="M84" s="105"/>
      <c r="N84" s="105"/>
      <c r="O84" s="105"/>
      <c r="P84" s="106"/>
      <c r="Q84" s="105"/>
      <c r="R84" s="105"/>
      <c r="Y84" s="162"/>
      <c r="Z84" s="162"/>
      <c r="AA84" s="162"/>
      <c r="AB84" s="162"/>
      <c r="AC84" s="162"/>
      <c r="AD84" s="162"/>
      <c r="AE84" s="162"/>
      <c r="AF84" s="162"/>
      <c r="AG84" s="162"/>
      <c r="AH84" s="162"/>
      <c r="AI84" s="94"/>
    </row>
    <row r="85" spans="1:35" x14ac:dyDescent="0.2">
      <c r="A85" s="94"/>
      <c r="B85" s="95"/>
      <c r="C85" s="97"/>
      <c r="D85" s="96"/>
      <c r="E85" s="96"/>
      <c r="F85" s="96"/>
      <c r="G85" s="95"/>
      <c r="H85" s="96"/>
      <c r="I85" s="167"/>
      <c r="J85" s="167"/>
      <c r="K85" s="105"/>
      <c r="L85" s="105"/>
      <c r="M85" s="105"/>
      <c r="N85" s="105"/>
      <c r="O85" s="105"/>
      <c r="P85" s="106"/>
      <c r="Q85" s="105"/>
      <c r="R85" s="105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94"/>
    </row>
    <row r="86" spans="1:35" x14ac:dyDescent="0.2">
      <c r="A86" s="94"/>
      <c r="B86" s="95"/>
      <c r="C86" s="97"/>
      <c r="D86" s="96"/>
      <c r="E86" s="96"/>
      <c r="F86" s="96"/>
      <c r="G86" s="95"/>
      <c r="H86" s="96"/>
      <c r="I86" s="167"/>
      <c r="J86" s="167"/>
      <c r="K86" s="105"/>
      <c r="L86" s="105"/>
      <c r="M86" s="105"/>
      <c r="N86" s="105"/>
      <c r="O86" s="105"/>
      <c r="P86" s="106"/>
      <c r="Q86" s="105"/>
      <c r="R86" s="105"/>
      <c r="Y86" s="162"/>
      <c r="Z86" s="162"/>
      <c r="AA86" s="162"/>
      <c r="AB86" s="162"/>
      <c r="AC86" s="162"/>
      <c r="AD86" s="162"/>
      <c r="AE86" s="162"/>
      <c r="AF86" s="162"/>
      <c r="AG86" s="162"/>
      <c r="AH86" s="162"/>
      <c r="AI86" s="94"/>
    </row>
    <row r="87" spans="1:35" x14ac:dyDescent="0.2">
      <c r="A87" s="94"/>
      <c r="B87" s="95"/>
      <c r="C87" s="97"/>
      <c r="D87" s="96"/>
      <c r="E87" s="96"/>
      <c r="F87" s="96"/>
      <c r="G87" s="95"/>
      <c r="H87" s="96"/>
      <c r="I87" s="167"/>
      <c r="J87" s="167"/>
      <c r="K87" s="105"/>
      <c r="L87" s="105"/>
      <c r="M87" s="105"/>
      <c r="N87" s="105"/>
      <c r="O87" s="105"/>
      <c r="P87" s="105"/>
      <c r="Q87" s="105"/>
      <c r="R87" s="105"/>
      <c r="Y87" s="162"/>
      <c r="Z87" s="162"/>
      <c r="AA87" s="162"/>
      <c r="AB87" s="162"/>
      <c r="AC87" s="162"/>
      <c r="AD87" s="162"/>
      <c r="AE87" s="162"/>
      <c r="AF87" s="162"/>
      <c r="AG87" s="162"/>
      <c r="AH87" s="162"/>
      <c r="AI87" s="94"/>
    </row>
    <row r="88" spans="1:35" x14ac:dyDescent="0.2">
      <c r="A88" s="94"/>
      <c r="B88" s="95"/>
      <c r="C88" s="97"/>
      <c r="D88" s="96"/>
      <c r="E88" s="96"/>
      <c r="F88" s="96"/>
      <c r="G88" s="95"/>
      <c r="H88" s="96"/>
      <c r="I88" s="167"/>
      <c r="J88" s="167"/>
      <c r="K88" s="105"/>
      <c r="L88" s="105"/>
      <c r="M88" s="105"/>
      <c r="N88" s="105"/>
      <c r="O88" s="105"/>
      <c r="P88" s="105"/>
      <c r="Q88" s="105"/>
      <c r="R88" s="105"/>
      <c r="Y88" s="162"/>
      <c r="Z88" s="162"/>
      <c r="AA88" s="162"/>
      <c r="AB88" s="162"/>
      <c r="AC88" s="162"/>
      <c r="AD88" s="162"/>
      <c r="AE88" s="162"/>
      <c r="AF88" s="162"/>
      <c r="AG88" s="162"/>
      <c r="AH88" s="162"/>
      <c r="AI88" s="94"/>
    </row>
    <row r="89" spans="1:35" x14ac:dyDescent="0.2">
      <c r="A89" s="94"/>
      <c r="B89" s="95"/>
      <c r="C89" s="97"/>
      <c r="D89" s="96"/>
      <c r="E89" s="96"/>
      <c r="F89" s="96"/>
      <c r="G89" s="95"/>
      <c r="H89" s="96"/>
      <c r="I89" s="167"/>
      <c r="J89" s="167"/>
      <c r="K89" s="105"/>
      <c r="L89" s="105"/>
      <c r="M89" s="105"/>
      <c r="N89" s="105"/>
      <c r="O89" s="105"/>
      <c r="P89" s="105"/>
      <c r="Q89" s="105"/>
      <c r="R89" s="105"/>
      <c r="Y89" s="162"/>
      <c r="Z89" s="162"/>
      <c r="AA89" s="162"/>
      <c r="AB89" s="162"/>
      <c r="AC89" s="162"/>
      <c r="AD89" s="162"/>
      <c r="AE89" s="162"/>
      <c r="AF89" s="162"/>
      <c r="AG89" s="162"/>
      <c r="AH89" s="162"/>
      <c r="AI89" s="94"/>
    </row>
    <row r="90" spans="1:35" x14ac:dyDescent="0.2">
      <c r="A90" s="94"/>
      <c r="B90" s="95"/>
      <c r="C90" s="97"/>
      <c r="D90" s="96"/>
      <c r="E90" s="96"/>
      <c r="F90" s="96"/>
      <c r="G90" s="95"/>
      <c r="H90" s="96"/>
      <c r="I90" s="167"/>
      <c r="J90" s="167"/>
      <c r="K90" s="105"/>
      <c r="L90" s="105"/>
      <c r="M90" s="105"/>
      <c r="N90" s="105"/>
      <c r="O90" s="105"/>
      <c r="P90" s="105"/>
      <c r="Q90" s="105"/>
      <c r="R90" s="105"/>
      <c r="Y90" s="162"/>
      <c r="Z90" s="162"/>
      <c r="AA90" s="162"/>
      <c r="AB90" s="162"/>
      <c r="AC90" s="162"/>
      <c r="AD90" s="162"/>
      <c r="AE90" s="162"/>
      <c r="AF90" s="162"/>
      <c r="AG90" s="162"/>
      <c r="AH90" s="162"/>
      <c r="AI90" s="94"/>
    </row>
    <row r="91" spans="1:35" ht="19" x14ac:dyDescent="0.25">
      <c r="A91" s="94"/>
      <c r="B91" s="95"/>
      <c r="C91" s="97"/>
      <c r="D91" s="96"/>
      <c r="E91" s="96"/>
      <c r="F91" s="96"/>
      <c r="G91" s="95"/>
      <c r="H91" s="96"/>
      <c r="I91" s="167"/>
      <c r="J91" s="167"/>
      <c r="K91" s="105"/>
      <c r="L91" s="105"/>
      <c r="M91" s="105"/>
      <c r="N91" s="105"/>
      <c r="O91" s="105"/>
      <c r="P91" s="105"/>
      <c r="Q91" s="105"/>
      <c r="R91" s="105"/>
      <c r="Y91" s="162"/>
      <c r="Z91" s="95"/>
      <c r="AA91" s="97"/>
      <c r="AB91" s="162"/>
      <c r="AC91" s="98" t="s">
        <v>111</v>
      </c>
      <c r="AD91" s="162"/>
      <c r="AE91" s="95"/>
      <c r="AF91" s="162"/>
      <c r="AG91" s="162"/>
      <c r="AH91" s="162"/>
      <c r="AI91" s="94"/>
    </row>
    <row r="92" spans="1:35" ht="19" x14ac:dyDescent="0.25">
      <c r="A92" s="94"/>
      <c r="B92" s="95"/>
      <c r="C92" s="97"/>
      <c r="D92" s="96"/>
      <c r="E92" s="96"/>
      <c r="F92" s="96"/>
      <c r="G92" s="95"/>
      <c r="H92" s="96"/>
      <c r="I92" s="167"/>
      <c r="J92" s="167"/>
      <c r="K92" s="105"/>
      <c r="L92" s="105"/>
      <c r="M92" s="105"/>
      <c r="N92" s="105"/>
      <c r="O92" s="105"/>
      <c r="P92" s="105"/>
      <c r="Q92" s="105"/>
      <c r="R92" s="105"/>
      <c r="Y92" s="162"/>
      <c r="Z92" s="95"/>
      <c r="AA92" s="97"/>
      <c r="AB92" s="162"/>
      <c r="AC92" s="98"/>
      <c r="AD92" s="162"/>
      <c r="AE92" s="95"/>
      <c r="AF92" s="162"/>
      <c r="AG92" s="162"/>
      <c r="AH92" s="162"/>
      <c r="AI92" s="94"/>
    </row>
    <row r="93" spans="1:35" x14ac:dyDescent="0.2">
      <c r="A93" s="94"/>
      <c r="B93" s="95"/>
      <c r="C93" s="97"/>
      <c r="D93" s="96"/>
      <c r="E93" s="96"/>
      <c r="F93" s="96"/>
      <c r="G93" s="95"/>
      <c r="H93" s="96"/>
      <c r="I93" s="167"/>
      <c r="J93" s="107"/>
      <c r="K93" s="105"/>
      <c r="L93" s="105"/>
      <c r="M93" s="105"/>
      <c r="N93" s="105"/>
      <c r="O93" s="105"/>
      <c r="P93" s="105"/>
      <c r="Q93" s="105"/>
      <c r="R93" s="105"/>
      <c r="Y93" s="162"/>
      <c r="Z93" s="99" t="s">
        <v>103</v>
      </c>
      <c r="AA93" s="97"/>
      <c r="AB93" s="162"/>
      <c r="AC93" s="162"/>
      <c r="AD93" s="162"/>
      <c r="AE93" s="95"/>
      <c r="AF93" s="162"/>
      <c r="AG93" s="162"/>
      <c r="AH93" s="162"/>
      <c r="AI93" s="94"/>
    </row>
    <row r="94" spans="1:35" x14ac:dyDescent="0.2">
      <c r="A94" s="94"/>
      <c r="B94" s="95"/>
      <c r="C94" s="97"/>
      <c r="D94" s="96"/>
      <c r="E94" s="96"/>
      <c r="F94" s="96"/>
      <c r="G94" s="95"/>
      <c r="H94" s="96"/>
      <c r="I94" s="167"/>
      <c r="J94" s="167"/>
      <c r="K94" s="105"/>
      <c r="L94" s="105"/>
      <c r="M94" s="105"/>
      <c r="N94" s="105"/>
      <c r="O94" s="105"/>
      <c r="P94" s="105"/>
      <c r="Q94" s="105"/>
      <c r="R94" s="105"/>
      <c r="Y94" s="162"/>
      <c r="Z94" s="97" t="s">
        <v>87</v>
      </c>
      <c r="AA94" s="94" t="s">
        <v>104</v>
      </c>
      <c r="AB94" s="162"/>
      <c r="AC94" s="162"/>
      <c r="AD94" s="162"/>
      <c r="AE94" s="173" t="s">
        <v>15</v>
      </c>
      <c r="AF94" s="173"/>
      <c r="AG94" s="162"/>
      <c r="AH94" s="162"/>
      <c r="AI94" s="94"/>
    </row>
    <row r="95" spans="1:35" ht="15" customHeight="1" x14ac:dyDescent="0.2">
      <c r="A95" s="94"/>
      <c r="B95" s="95"/>
      <c r="C95" s="97"/>
      <c r="D95" s="96"/>
      <c r="E95" s="96"/>
      <c r="F95" s="96"/>
      <c r="G95" s="95"/>
      <c r="H95" s="96"/>
      <c r="I95" s="167"/>
      <c r="J95" s="167"/>
      <c r="K95" s="105"/>
      <c r="L95" s="105"/>
      <c r="M95" s="105"/>
      <c r="N95" s="105"/>
      <c r="O95" s="105"/>
      <c r="P95" s="105"/>
      <c r="Q95" s="105"/>
      <c r="R95" s="105"/>
      <c r="Y95" s="162"/>
      <c r="Z95" s="101" t="s">
        <v>88</v>
      </c>
      <c r="AA95" s="100" t="s">
        <v>105</v>
      </c>
      <c r="AB95" s="162"/>
      <c r="AC95" s="162"/>
      <c r="AD95" s="162"/>
      <c r="AE95" s="173"/>
      <c r="AF95" s="173"/>
      <c r="AG95" s="162"/>
      <c r="AH95" s="162"/>
      <c r="AI95" s="94"/>
    </row>
    <row r="96" spans="1:35" ht="15" customHeight="1" x14ac:dyDescent="0.2">
      <c r="A96" s="94"/>
      <c r="B96" s="95"/>
      <c r="C96" s="97"/>
      <c r="D96" s="96"/>
      <c r="E96" s="96"/>
      <c r="F96" s="96"/>
      <c r="G96" s="95"/>
      <c r="H96" s="96"/>
      <c r="I96" s="167"/>
      <c r="J96" s="167"/>
      <c r="K96" s="105"/>
      <c r="L96" s="105"/>
      <c r="M96" s="105"/>
      <c r="N96" s="105"/>
      <c r="O96" s="105"/>
      <c r="P96" s="105"/>
      <c r="Q96" s="105"/>
      <c r="R96" s="105"/>
      <c r="Y96" s="162"/>
      <c r="Z96" s="97" t="s">
        <v>89</v>
      </c>
      <c r="AA96" s="94" t="s">
        <v>107</v>
      </c>
      <c r="AB96" s="162"/>
      <c r="AC96" s="162"/>
      <c r="AD96" s="162"/>
      <c r="AE96" s="173"/>
      <c r="AF96" s="173"/>
      <c r="AG96" s="162"/>
      <c r="AH96" s="162"/>
      <c r="AI96" s="94"/>
    </row>
    <row r="97" spans="1:35" ht="15" customHeight="1" x14ac:dyDescent="0.2">
      <c r="A97" s="94"/>
      <c r="B97" s="95"/>
      <c r="C97" s="97"/>
      <c r="D97" s="96"/>
      <c r="E97" s="96"/>
      <c r="F97" s="96"/>
      <c r="G97" s="95"/>
      <c r="H97" s="96"/>
      <c r="I97" s="167"/>
      <c r="J97" s="167"/>
      <c r="K97" s="105"/>
      <c r="L97" s="105"/>
      <c r="M97" s="105"/>
      <c r="N97" s="105"/>
      <c r="O97" s="105"/>
      <c r="P97" s="105"/>
      <c r="Q97" s="105"/>
      <c r="R97" s="105"/>
      <c r="Y97" s="162"/>
      <c r="Z97" s="97" t="s">
        <v>90</v>
      </c>
      <c r="AA97" s="94" t="s">
        <v>108</v>
      </c>
      <c r="AB97" s="162"/>
      <c r="AC97" s="162"/>
      <c r="AD97" s="162"/>
      <c r="AE97" s="173"/>
      <c r="AF97" s="173"/>
      <c r="AG97" s="162"/>
      <c r="AH97" s="162"/>
      <c r="AI97" s="94"/>
    </row>
    <row r="98" spans="1:35" ht="15" customHeight="1" x14ac:dyDescent="0.25">
      <c r="A98" s="94"/>
      <c r="B98" s="95"/>
      <c r="C98" s="97"/>
      <c r="D98" s="96"/>
      <c r="E98" s="96"/>
      <c r="F98" s="96"/>
      <c r="G98" s="95"/>
      <c r="H98" s="96"/>
      <c r="I98" s="167"/>
      <c r="J98" s="167"/>
      <c r="K98" s="105"/>
      <c r="L98" s="105"/>
      <c r="M98" s="98" t="s">
        <v>111</v>
      </c>
      <c r="N98" s="105"/>
      <c r="O98" s="105"/>
      <c r="P98" s="105"/>
      <c r="Q98" s="105"/>
      <c r="R98" s="105"/>
      <c r="Y98" s="162"/>
      <c r="Z98" s="101" t="s">
        <v>91</v>
      </c>
      <c r="AA98" s="100" t="s">
        <v>105</v>
      </c>
      <c r="AB98" s="162"/>
      <c r="AC98" s="162"/>
      <c r="AD98" s="162"/>
      <c r="AE98" s="173"/>
      <c r="AF98" s="173"/>
      <c r="AG98" s="162"/>
      <c r="AH98" s="162"/>
      <c r="AI98" s="94"/>
    </row>
    <row r="99" spans="1:35" ht="15" customHeight="1" x14ac:dyDescent="0.2">
      <c r="A99" s="94"/>
      <c r="B99" s="95"/>
      <c r="C99" s="97"/>
      <c r="D99" s="96"/>
      <c r="E99" s="96"/>
      <c r="F99" s="96"/>
      <c r="G99" s="95"/>
      <c r="H99" s="96"/>
      <c r="I99" s="167"/>
      <c r="J99" s="107"/>
      <c r="K99" s="105"/>
      <c r="L99" s="105"/>
      <c r="M99" s="105"/>
      <c r="N99" s="105"/>
      <c r="O99" s="105"/>
      <c r="P99" s="105"/>
      <c r="Q99" s="105"/>
      <c r="R99" s="105"/>
      <c r="Y99" s="162"/>
      <c r="Z99" s="95"/>
      <c r="AA99" s="97"/>
      <c r="AB99" s="162"/>
      <c r="AC99" s="162"/>
      <c r="AD99" s="162"/>
      <c r="AE99" s="95"/>
      <c r="AF99" s="162"/>
      <c r="AG99" s="162"/>
      <c r="AH99" s="162"/>
      <c r="AI99" s="94"/>
    </row>
    <row r="100" spans="1:35" ht="19" x14ac:dyDescent="0.25">
      <c r="A100" s="94"/>
      <c r="B100" s="95"/>
      <c r="C100" s="97"/>
      <c r="D100" s="96"/>
      <c r="E100" s="96"/>
      <c r="F100" s="96"/>
      <c r="G100" s="95"/>
      <c r="H100" s="96"/>
      <c r="I100" s="167"/>
      <c r="J100" s="107"/>
      <c r="K100" s="105"/>
      <c r="L100" s="105"/>
      <c r="M100" s="98" t="s">
        <v>112</v>
      </c>
      <c r="N100" s="105"/>
      <c r="O100" s="105"/>
      <c r="P100" s="105"/>
      <c r="Q100" s="105"/>
      <c r="R100" s="105"/>
      <c r="Y100" s="162"/>
      <c r="Z100" s="95"/>
      <c r="AA100" s="97"/>
      <c r="AB100" s="162"/>
      <c r="AC100" s="98" t="s">
        <v>112</v>
      </c>
      <c r="AD100" s="162"/>
      <c r="AE100" s="95"/>
      <c r="AF100" s="162"/>
      <c r="AG100" s="162"/>
      <c r="AH100" s="162"/>
      <c r="AI100" s="94"/>
    </row>
    <row r="101" spans="1:35" x14ac:dyDescent="0.2">
      <c r="A101" s="94"/>
      <c r="B101" s="95"/>
      <c r="C101" s="97"/>
      <c r="D101" s="96"/>
      <c r="E101" s="96"/>
      <c r="F101" s="96"/>
      <c r="G101" s="95"/>
      <c r="H101" s="96"/>
      <c r="I101" s="167"/>
      <c r="J101" s="107"/>
      <c r="K101" s="105"/>
      <c r="L101" s="105"/>
      <c r="M101" s="105"/>
      <c r="N101" s="105"/>
      <c r="O101" s="105"/>
      <c r="P101" s="105"/>
      <c r="Q101" s="105"/>
      <c r="R101" s="105"/>
      <c r="Y101" s="162"/>
      <c r="Z101" s="162"/>
      <c r="AA101" s="162"/>
      <c r="AB101" s="162"/>
      <c r="AC101" s="162"/>
      <c r="AD101" s="162"/>
      <c r="AE101" s="162"/>
      <c r="AF101" s="162"/>
      <c r="AG101" s="162"/>
      <c r="AH101" s="162"/>
      <c r="AI101" s="94"/>
    </row>
    <row r="102" spans="1:35" x14ac:dyDescent="0.2">
      <c r="A102" s="94"/>
      <c r="B102" s="95"/>
      <c r="C102" s="97"/>
      <c r="D102" s="96"/>
      <c r="E102" s="96"/>
      <c r="F102" s="96"/>
      <c r="G102" s="95"/>
      <c r="H102" s="96"/>
      <c r="I102" s="167"/>
      <c r="J102" s="107"/>
      <c r="K102" s="105"/>
      <c r="L102" s="105"/>
      <c r="M102" s="105"/>
      <c r="N102" s="105"/>
      <c r="O102" s="105"/>
      <c r="P102" s="105"/>
      <c r="Q102" s="105"/>
      <c r="R102" s="105"/>
      <c r="Y102" s="162"/>
      <c r="Z102" s="162"/>
      <c r="AA102" s="162"/>
      <c r="AB102" s="162"/>
      <c r="AC102" s="162"/>
      <c r="AD102" s="162"/>
      <c r="AE102" s="162"/>
      <c r="AF102" s="162"/>
      <c r="AG102" s="162"/>
      <c r="AH102" s="162"/>
      <c r="AI102" s="94"/>
    </row>
    <row r="103" spans="1:35" x14ac:dyDescent="0.2">
      <c r="A103" s="94"/>
      <c r="B103" s="95"/>
      <c r="C103" s="97"/>
      <c r="D103" s="96"/>
      <c r="E103" s="96"/>
      <c r="F103" s="96"/>
      <c r="G103" s="95"/>
      <c r="H103" s="96"/>
      <c r="I103" s="167"/>
      <c r="J103" s="167"/>
      <c r="K103" s="105"/>
      <c r="L103" s="105"/>
      <c r="M103" s="105"/>
      <c r="N103" s="105"/>
      <c r="O103" s="105"/>
      <c r="P103" s="105"/>
      <c r="Q103" s="105"/>
      <c r="R103" s="105"/>
      <c r="Y103" s="162"/>
      <c r="Z103" s="162"/>
      <c r="AA103" s="162"/>
      <c r="AB103" s="162"/>
      <c r="AC103" s="162"/>
      <c r="AD103" s="162"/>
      <c r="AE103" s="162"/>
      <c r="AF103" s="162"/>
      <c r="AG103" s="162"/>
      <c r="AH103" s="162"/>
      <c r="AI103" s="94"/>
    </row>
    <row r="104" spans="1:35" x14ac:dyDescent="0.2">
      <c r="A104" s="94"/>
      <c r="B104" s="95"/>
      <c r="C104" s="97"/>
      <c r="D104" s="96"/>
      <c r="E104" s="96"/>
      <c r="F104" s="96"/>
      <c r="G104" s="95"/>
      <c r="H104" s="96"/>
      <c r="I104" s="167"/>
      <c r="J104" s="167"/>
      <c r="K104" s="105"/>
      <c r="L104" s="105"/>
      <c r="M104" s="105"/>
      <c r="N104" s="105"/>
      <c r="O104" s="105"/>
      <c r="P104" s="105"/>
      <c r="Q104" s="105"/>
      <c r="R104" s="105"/>
      <c r="Y104" s="162"/>
      <c r="Z104" s="162"/>
      <c r="AA104" s="162"/>
      <c r="AB104" s="162"/>
      <c r="AC104" s="162"/>
      <c r="AD104" s="162"/>
      <c r="AE104" s="162"/>
      <c r="AF104" s="162"/>
      <c r="AG104" s="162"/>
      <c r="AH104" s="162"/>
      <c r="AI104" s="94"/>
    </row>
    <row r="105" spans="1:35" x14ac:dyDescent="0.2">
      <c r="A105" s="94"/>
      <c r="B105" s="95"/>
      <c r="C105" s="97"/>
      <c r="D105" s="96"/>
      <c r="E105" s="96"/>
      <c r="F105" s="96"/>
      <c r="G105" s="95"/>
      <c r="H105" s="96"/>
      <c r="I105" s="167"/>
      <c r="J105" s="167"/>
      <c r="K105" s="105"/>
      <c r="L105" s="105"/>
      <c r="M105" s="105"/>
      <c r="N105" s="105"/>
      <c r="O105" s="105"/>
      <c r="P105" s="105"/>
      <c r="Q105" s="105"/>
      <c r="R105" s="105"/>
      <c r="Y105" s="162"/>
      <c r="Z105" s="162"/>
      <c r="AA105" s="162"/>
      <c r="AB105" s="162"/>
      <c r="AC105" s="162"/>
      <c r="AD105" s="162"/>
      <c r="AE105" s="162"/>
      <c r="AF105" s="162"/>
      <c r="AG105" s="162"/>
      <c r="AH105" s="162"/>
      <c r="AI105" s="94"/>
    </row>
    <row r="106" spans="1:35" x14ac:dyDescent="0.2">
      <c r="A106" s="94"/>
      <c r="B106" s="95"/>
      <c r="C106" s="97"/>
      <c r="D106" s="96"/>
      <c r="E106" s="96"/>
      <c r="F106" s="96"/>
      <c r="G106" s="95"/>
      <c r="H106" s="96"/>
      <c r="I106" s="167"/>
      <c r="J106" s="167"/>
      <c r="K106" s="105"/>
      <c r="L106" s="105"/>
      <c r="M106" s="105"/>
      <c r="N106" s="105"/>
      <c r="O106" s="105"/>
      <c r="P106" s="105"/>
      <c r="Q106" s="105"/>
      <c r="R106" s="105"/>
      <c r="Y106" s="162"/>
      <c r="Z106" s="162"/>
      <c r="AA106" s="162"/>
      <c r="AB106" s="162"/>
      <c r="AC106" s="162"/>
      <c r="AD106" s="162"/>
      <c r="AE106" s="162"/>
      <c r="AF106" s="162"/>
      <c r="AG106" s="162"/>
      <c r="AH106" s="162"/>
      <c r="AI106" s="94"/>
    </row>
    <row r="107" spans="1:35" x14ac:dyDescent="0.2">
      <c r="I107" s="167"/>
      <c r="J107" s="167"/>
      <c r="K107" s="105"/>
      <c r="L107" s="105"/>
      <c r="M107" s="105"/>
      <c r="N107" s="105"/>
      <c r="O107" s="105"/>
      <c r="P107" s="105"/>
      <c r="Q107" s="105"/>
      <c r="R107" s="105"/>
      <c r="Y107" s="162"/>
      <c r="Z107" s="162"/>
      <c r="AA107" s="162"/>
      <c r="AB107" s="162"/>
      <c r="AC107" s="162"/>
      <c r="AD107" s="162"/>
      <c r="AE107" s="162"/>
      <c r="AF107" s="162"/>
      <c r="AG107" s="162"/>
      <c r="AH107" s="162"/>
      <c r="AI107" s="94"/>
    </row>
    <row r="108" spans="1:35" x14ac:dyDescent="0.2">
      <c r="I108" s="167"/>
      <c r="J108" s="167"/>
      <c r="K108" s="105"/>
      <c r="L108" s="105"/>
      <c r="M108" s="105"/>
      <c r="N108" s="105"/>
      <c r="O108" s="105"/>
      <c r="P108" s="105"/>
      <c r="Q108" s="105"/>
      <c r="R108" s="105"/>
      <c r="Y108" s="162"/>
      <c r="Z108" s="162"/>
      <c r="AA108" s="162"/>
      <c r="AB108" s="162"/>
      <c r="AC108" s="162"/>
      <c r="AD108" s="162"/>
      <c r="AE108" s="162"/>
      <c r="AF108" s="162"/>
      <c r="AG108" s="162"/>
      <c r="AH108" s="162"/>
      <c r="AI108" s="94"/>
    </row>
    <row r="109" spans="1:35" x14ac:dyDescent="0.2">
      <c r="I109" s="167"/>
      <c r="J109" s="167"/>
      <c r="K109" s="105"/>
      <c r="L109" s="105"/>
      <c r="M109" s="105"/>
      <c r="N109" s="105"/>
      <c r="O109" s="105"/>
      <c r="P109" s="105"/>
      <c r="Q109" s="105"/>
      <c r="R109" s="105"/>
      <c r="Y109" s="162"/>
      <c r="Z109" s="162"/>
      <c r="AA109" s="162"/>
      <c r="AB109" s="162"/>
      <c r="AC109" s="162"/>
      <c r="AD109" s="162"/>
      <c r="AE109" s="162"/>
      <c r="AF109" s="162"/>
      <c r="AG109" s="162"/>
      <c r="AH109" s="162"/>
      <c r="AI109" s="94"/>
    </row>
    <row r="110" spans="1:35" x14ac:dyDescent="0.2">
      <c r="I110" s="167"/>
      <c r="J110" s="167"/>
      <c r="K110" s="105"/>
      <c r="L110" s="105"/>
      <c r="M110" s="105"/>
      <c r="N110" s="105"/>
      <c r="O110" s="105"/>
      <c r="P110" s="105"/>
      <c r="Q110" s="105"/>
      <c r="R110" s="105"/>
      <c r="Y110" s="162"/>
      <c r="Z110" s="162"/>
      <c r="AA110" s="162"/>
      <c r="AB110" s="162"/>
      <c r="AC110" s="162"/>
      <c r="AD110" s="162"/>
      <c r="AE110" s="162"/>
      <c r="AF110" s="162"/>
      <c r="AG110" s="162"/>
      <c r="AH110" s="162"/>
      <c r="AI110" s="94"/>
    </row>
    <row r="111" spans="1:35" x14ac:dyDescent="0.2">
      <c r="I111" s="167"/>
      <c r="J111" s="167"/>
      <c r="K111" s="105"/>
      <c r="L111" s="105"/>
      <c r="M111" s="105"/>
      <c r="N111" s="105"/>
      <c r="O111" s="105"/>
      <c r="P111" s="105"/>
      <c r="Q111" s="105"/>
      <c r="R111" s="105"/>
      <c r="Y111" s="162"/>
      <c r="Z111" s="162"/>
      <c r="AA111" s="162"/>
      <c r="AB111" s="162"/>
      <c r="AC111" s="162"/>
      <c r="AD111" s="162"/>
      <c r="AE111" s="162"/>
      <c r="AF111" s="162"/>
      <c r="AG111" s="162"/>
      <c r="AH111" s="162"/>
      <c r="AI111" s="94"/>
    </row>
    <row r="112" spans="1:35" x14ac:dyDescent="0.2">
      <c r="I112" s="167"/>
      <c r="J112" s="167"/>
      <c r="K112" s="105"/>
      <c r="L112" s="105"/>
      <c r="M112" s="105"/>
      <c r="N112" s="105"/>
      <c r="O112" s="105"/>
      <c r="P112" s="105"/>
      <c r="Q112" s="105"/>
      <c r="R112" s="105"/>
      <c r="Y112" s="162"/>
      <c r="Z112" s="162"/>
      <c r="AA112" s="162"/>
      <c r="AB112" s="162"/>
      <c r="AC112" s="162"/>
      <c r="AD112" s="162"/>
      <c r="AE112" s="162"/>
      <c r="AF112" s="162"/>
      <c r="AG112" s="162"/>
      <c r="AH112" s="162"/>
      <c r="AI112" s="94"/>
    </row>
    <row r="113" spans="9:35" x14ac:dyDescent="0.2">
      <c r="I113" s="167"/>
      <c r="J113" s="167"/>
      <c r="K113" s="105"/>
      <c r="L113" s="105"/>
      <c r="M113" s="105"/>
      <c r="N113" s="105"/>
      <c r="O113" s="105"/>
      <c r="P113" s="105"/>
      <c r="Q113" s="105"/>
      <c r="R113" s="105"/>
      <c r="Y113" s="162"/>
      <c r="Z113" s="162"/>
      <c r="AA113" s="162"/>
      <c r="AB113" s="162"/>
      <c r="AC113" s="162"/>
      <c r="AD113" s="162"/>
      <c r="AE113" s="162"/>
      <c r="AF113" s="162"/>
      <c r="AG113" s="162"/>
      <c r="AH113" s="162"/>
      <c r="AI113" s="94"/>
    </row>
    <row r="114" spans="9:35" x14ac:dyDescent="0.2">
      <c r="I114" s="167"/>
      <c r="J114" s="167"/>
      <c r="K114" s="105"/>
      <c r="L114" s="105"/>
      <c r="M114" s="105"/>
      <c r="N114" s="105"/>
      <c r="O114" s="105"/>
      <c r="P114" s="105"/>
      <c r="Q114" s="105"/>
      <c r="R114" s="105"/>
      <c r="Y114" s="162"/>
      <c r="Z114" s="162"/>
      <c r="AA114" s="162"/>
      <c r="AB114" s="162"/>
      <c r="AC114" s="162"/>
      <c r="AD114" s="162"/>
      <c r="AE114" s="162"/>
      <c r="AF114" s="162"/>
      <c r="AG114" s="162"/>
      <c r="AH114" s="162"/>
      <c r="AI114" s="94"/>
    </row>
    <row r="115" spans="9:35" x14ac:dyDescent="0.2">
      <c r="I115" s="167"/>
      <c r="J115" s="167"/>
      <c r="K115" s="105"/>
      <c r="L115" s="105"/>
      <c r="M115" s="105"/>
      <c r="N115" s="105"/>
      <c r="O115" s="105"/>
      <c r="P115" s="105"/>
      <c r="Q115" s="105"/>
      <c r="R115" s="105"/>
      <c r="Y115" s="162"/>
      <c r="Z115" s="162"/>
      <c r="AA115" s="162"/>
      <c r="AB115" s="162"/>
      <c r="AC115" s="162"/>
      <c r="AD115" s="162"/>
      <c r="AE115" s="162"/>
      <c r="AF115" s="162"/>
      <c r="AG115" s="162"/>
      <c r="AH115" s="162"/>
      <c r="AI115" s="94"/>
    </row>
    <row r="116" spans="9:35" x14ac:dyDescent="0.2">
      <c r="I116" s="167"/>
      <c r="J116" s="167"/>
      <c r="K116" s="105"/>
      <c r="L116" s="105"/>
      <c r="M116" s="105"/>
      <c r="N116" s="105"/>
      <c r="O116" s="105"/>
      <c r="P116" s="105"/>
      <c r="Q116" s="105"/>
      <c r="R116" s="105"/>
      <c r="Y116" s="162"/>
      <c r="Z116" s="162"/>
      <c r="AA116" s="162"/>
      <c r="AB116" s="162"/>
      <c r="AC116" s="162"/>
      <c r="AD116" s="162"/>
      <c r="AE116" s="162"/>
      <c r="AF116" s="162"/>
      <c r="AG116" s="162"/>
      <c r="AH116" s="162"/>
      <c r="AI116" s="94"/>
    </row>
    <row r="117" spans="9:35" x14ac:dyDescent="0.2">
      <c r="I117" s="167"/>
      <c r="J117" s="167"/>
      <c r="K117" s="105"/>
      <c r="L117" s="105"/>
      <c r="M117" s="105"/>
      <c r="N117" s="105"/>
      <c r="O117" s="105"/>
      <c r="P117" s="105"/>
      <c r="Q117" s="105"/>
      <c r="R117" s="105"/>
      <c r="Y117" s="162"/>
      <c r="Z117" s="162"/>
      <c r="AA117" s="162"/>
      <c r="AB117" s="162"/>
      <c r="AC117" s="162"/>
      <c r="AD117" s="162"/>
      <c r="AE117" s="162"/>
      <c r="AF117" s="162"/>
      <c r="AG117" s="162"/>
      <c r="AH117" s="162"/>
      <c r="AI117" s="94"/>
    </row>
    <row r="118" spans="9:35" x14ac:dyDescent="0.2">
      <c r="I118" s="167"/>
      <c r="J118" s="167"/>
      <c r="K118" s="105"/>
      <c r="L118" s="105"/>
      <c r="M118" s="105"/>
      <c r="N118" s="105"/>
      <c r="O118" s="105"/>
      <c r="P118" s="105"/>
      <c r="Q118" s="105"/>
      <c r="R118" s="105"/>
      <c r="Y118" s="162"/>
      <c r="Z118" s="162"/>
      <c r="AA118" s="162"/>
      <c r="AB118" s="162"/>
      <c r="AC118" s="162"/>
      <c r="AD118" s="162"/>
      <c r="AE118" s="162"/>
      <c r="AF118" s="162"/>
      <c r="AG118" s="162"/>
      <c r="AH118" s="162"/>
      <c r="AI118" s="94"/>
    </row>
    <row r="119" spans="9:35" x14ac:dyDescent="0.2">
      <c r="I119" s="167"/>
      <c r="J119" s="167"/>
      <c r="K119" s="105"/>
      <c r="L119" s="105"/>
      <c r="M119" s="105"/>
      <c r="N119" s="105"/>
      <c r="O119" s="105"/>
      <c r="P119" s="105"/>
      <c r="Q119" s="105"/>
      <c r="R119" s="105"/>
      <c r="Y119" s="162"/>
      <c r="Z119" s="162"/>
      <c r="AA119" s="162"/>
      <c r="AB119" s="162"/>
      <c r="AC119" s="162"/>
      <c r="AD119" s="162"/>
      <c r="AE119" s="162"/>
      <c r="AF119" s="162"/>
      <c r="AG119" s="162"/>
      <c r="AH119" s="162"/>
      <c r="AI119" s="94"/>
    </row>
    <row r="120" spans="9:35" x14ac:dyDescent="0.2">
      <c r="I120" s="167"/>
      <c r="J120" s="167"/>
      <c r="K120" s="105"/>
      <c r="L120" s="105"/>
      <c r="M120" s="105"/>
      <c r="N120" s="105"/>
      <c r="O120" s="105"/>
      <c r="P120" s="105"/>
      <c r="Q120" s="105"/>
      <c r="R120" s="105"/>
      <c r="Y120" s="162"/>
      <c r="Z120" s="162"/>
      <c r="AA120" s="162"/>
      <c r="AB120" s="162"/>
      <c r="AC120" s="162"/>
      <c r="AD120" s="162"/>
      <c r="AE120" s="162"/>
      <c r="AF120" s="162"/>
      <c r="AG120" s="162"/>
      <c r="AH120" s="162"/>
      <c r="AI120" s="94"/>
    </row>
    <row r="121" spans="9:35" x14ac:dyDescent="0.2">
      <c r="I121" s="167"/>
      <c r="J121" s="167"/>
      <c r="K121" s="105"/>
      <c r="L121" s="105"/>
      <c r="M121" s="105"/>
      <c r="N121" s="105"/>
      <c r="O121" s="105"/>
      <c r="P121" s="105"/>
      <c r="Q121" s="105"/>
      <c r="R121" s="105"/>
      <c r="Y121" s="162"/>
      <c r="Z121" s="162"/>
      <c r="AA121" s="162"/>
      <c r="AB121" s="162"/>
      <c r="AC121" s="162"/>
      <c r="AD121" s="162"/>
      <c r="AE121" s="162"/>
      <c r="AF121" s="162"/>
      <c r="AG121" s="162"/>
      <c r="AH121" s="162"/>
      <c r="AI121" s="94"/>
    </row>
    <row r="122" spans="9:35" x14ac:dyDescent="0.2">
      <c r="I122" s="167"/>
      <c r="J122" s="167"/>
      <c r="K122" s="105"/>
      <c r="L122" s="105"/>
      <c r="M122" s="105"/>
      <c r="N122" s="105"/>
      <c r="O122" s="105"/>
      <c r="P122" s="105"/>
      <c r="Q122" s="105"/>
      <c r="R122" s="105"/>
      <c r="Y122" s="162"/>
      <c r="Z122" s="162"/>
      <c r="AA122" s="162"/>
      <c r="AB122" s="162"/>
      <c r="AC122" s="162"/>
      <c r="AD122" s="162"/>
      <c r="AE122" s="162"/>
      <c r="AF122" s="162"/>
      <c r="AG122" s="162"/>
      <c r="AH122" s="162"/>
      <c r="AI122" s="94"/>
    </row>
    <row r="123" spans="9:35" x14ac:dyDescent="0.2">
      <c r="I123" s="167"/>
      <c r="J123" s="167"/>
      <c r="K123" s="105"/>
      <c r="L123" s="105"/>
      <c r="M123" s="105"/>
      <c r="N123" s="105"/>
      <c r="O123" s="105"/>
      <c r="P123" s="105"/>
      <c r="Q123" s="105"/>
      <c r="R123" s="105"/>
      <c r="Y123" s="162"/>
      <c r="Z123" s="162"/>
      <c r="AA123" s="162"/>
      <c r="AB123" s="162"/>
      <c r="AC123" s="162"/>
      <c r="AD123" s="162"/>
      <c r="AE123" s="162"/>
      <c r="AF123" s="162"/>
      <c r="AG123" s="162"/>
      <c r="AH123" s="162"/>
      <c r="AI123" s="94"/>
    </row>
    <row r="124" spans="9:35" x14ac:dyDescent="0.2">
      <c r="Y124" s="162"/>
      <c r="Z124" s="162"/>
      <c r="AA124" s="162"/>
      <c r="AB124" s="162"/>
      <c r="AC124" s="162"/>
      <c r="AD124" s="162"/>
      <c r="AE124" s="162"/>
      <c r="AF124" s="162"/>
      <c r="AG124" s="162"/>
      <c r="AH124" s="162"/>
      <c r="AI124" s="94"/>
    </row>
  </sheetData>
  <mergeCells count="2">
    <mergeCell ref="G77:H81"/>
    <mergeCell ref="AE94:AF98"/>
  </mergeCells>
  <pageMargins left="0.7" right="0.7" top="0.75" bottom="0.75" header="0.3" footer="0.3"/>
  <pageSetup paperSize="9" scale="2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91D4D-033F-452D-BC50-41CECA027D0F}">
  <sheetPr>
    <pageSetUpPr fitToPage="1"/>
  </sheetPr>
  <dimension ref="A1:AL120"/>
  <sheetViews>
    <sheetView zoomScaleNormal="100" workbookViewId="0">
      <selection activeCell="B1" sqref="B1:B2"/>
    </sheetView>
  </sheetViews>
  <sheetFormatPr baseColWidth="10" defaultRowHeight="15" x14ac:dyDescent="0.2"/>
  <cols>
    <col min="1" max="1" width="6.83203125" customWidth="1"/>
    <col min="2" max="2" width="9.83203125" style="3" customWidth="1"/>
    <col min="3" max="3" width="14" bestFit="1" customWidth="1"/>
    <col min="4" max="4" width="14" style="2" customWidth="1"/>
    <col min="5" max="5" width="16.5" style="2" customWidth="1"/>
    <col min="6" max="6" width="18.33203125" style="2" customWidth="1"/>
    <col min="7" max="8" width="12.5" style="2" customWidth="1"/>
    <col min="9" max="9" width="9.5" style="2" customWidth="1"/>
    <col min="10" max="10" width="15.6640625" style="2" bestFit="1" customWidth="1"/>
    <col min="11" max="17" width="10.5" style="2" customWidth="1"/>
    <col min="18" max="18" width="17" style="2" bestFit="1" customWidth="1"/>
    <col min="19" max="22" width="10.5" style="2" customWidth="1"/>
    <col min="26" max="26" width="15.6640625" bestFit="1" customWidth="1"/>
  </cols>
  <sheetData>
    <row r="1" spans="2:38" x14ac:dyDescent="0.2">
      <c r="B1" s="29" t="s">
        <v>196</v>
      </c>
    </row>
    <row r="2" spans="2:38" ht="16" thickBot="1" x14ac:dyDescent="0.25">
      <c r="B2" s="29" t="s">
        <v>197</v>
      </c>
    </row>
    <row r="3" spans="2:38" ht="25" thickBot="1" x14ac:dyDescent="0.35">
      <c r="B3" s="81" t="s">
        <v>16</v>
      </c>
      <c r="F3" s="40" t="s">
        <v>195</v>
      </c>
      <c r="X3" s="28" t="s">
        <v>190</v>
      </c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2:38" ht="17" x14ac:dyDescent="0.25">
      <c r="K4" s="39">
        <v>28.085000000000001</v>
      </c>
      <c r="L4" s="39">
        <v>47.866999999999997</v>
      </c>
      <c r="M4" s="39">
        <v>26.981000000000002</v>
      </c>
      <c r="N4" s="39">
        <v>51.996099999999998</v>
      </c>
      <c r="O4" s="39">
        <v>55.844999999999999</v>
      </c>
      <c r="P4" s="39">
        <v>24.305</v>
      </c>
      <c r="Q4" s="39">
        <v>54.938000000000002</v>
      </c>
      <c r="R4" s="39">
        <v>40.078000000000003</v>
      </c>
      <c r="S4" s="39">
        <v>22.989000000000001</v>
      </c>
      <c r="T4" s="39">
        <v>39.098300000000002</v>
      </c>
      <c r="U4" s="39">
        <v>15.999000000000001</v>
      </c>
      <c r="V4" s="39">
        <f>U4+2*1.008</f>
        <v>18.015000000000001</v>
      </c>
      <c r="X4" s="168" t="s">
        <v>188</v>
      </c>
      <c r="Y4" s="2" t="s">
        <v>189</v>
      </c>
      <c r="Z4" s="2"/>
      <c r="AA4" s="2"/>
      <c r="AB4" s="2"/>
      <c r="AC4" s="2"/>
      <c r="AD4" s="2"/>
      <c r="AE4" s="2"/>
      <c r="AF4" s="2"/>
      <c r="AG4" s="2"/>
      <c r="AH4" s="2"/>
    </row>
    <row r="5" spans="2:38" ht="18" thickBot="1" x14ac:dyDescent="0.25">
      <c r="B5" s="44" t="s">
        <v>72</v>
      </c>
      <c r="C5" s="80" t="s">
        <v>96</v>
      </c>
      <c r="D5" s="43" t="s">
        <v>5</v>
      </c>
      <c r="E5" s="43" t="s">
        <v>26</v>
      </c>
      <c r="F5" s="43" t="s">
        <v>27</v>
      </c>
      <c r="G5" s="43" t="s">
        <v>92</v>
      </c>
      <c r="H5" s="43" t="s">
        <v>93</v>
      </c>
      <c r="I5" s="43" t="s">
        <v>94</v>
      </c>
      <c r="J5" s="43" t="s">
        <v>95</v>
      </c>
      <c r="K5" s="33" t="s">
        <v>40</v>
      </c>
      <c r="L5" s="33" t="s">
        <v>41</v>
      </c>
      <c r="M5" s="33" t="s">
        <v>42</v>
      </c>
      <c r="N5" s="33" t="s">
        <v>43</v>
      </c>
      <c r="O5" s="33" t="s">
        <v>83</v>
      </c>
      <c r="P5" s="33" t="s">
        <v>45</v>
      </c>
      <c r="Q5" s="33" t="s">
        <v>84</v>
      </c>
      <c r="R5" s="33" t="s">
        <v>47</v>
      </c>
      <c r="S5" s="33" t="s">
        <v>48</v>
      </c>
      <c r="T5" s="33" t="s">
        <v>49</v>
      </c>
      <c r="U5" s="33" t="s">
        <v>24</v>
      </c>
      <c r="V5" s="33" t="s">
        <v>85</v>
      </c>
      <c r="X5" s="43" t="s">
        <v>94</v>
      </c>
      <c r="Y5" s="43" t="s">
        <v>94</v>
      </c>
      <c r="Z5" s="43" t="s">
        <v>95</v>
      </c>
      <c r="AA5" s="33" t="s">
        <v>40</v>
      </c>
      <c r="AB5" s="33" t="s">
        <v>41</v>
      </c>
      <c r="AC5" s="33" t="s">
        <v>42</v>
      </c>
      <c r="AD5" s="33" t="s">
        <v>43</v>
      </c>
      <c r="AE5" s="33" t="s">
        <v>83</v>
      </c>
      <c r="AF5" s="33" t="s">
        <v>45</v>
      </c>
      <c r="AG5" s="33" t="s">
        <v>84</v>
      </c>
      <c r="AH5" s="33" t="s">
        <v>47</v>
      </c>
      <c r="AI5" s="33" t="s">
        <v>48</v>
      </c>
      <c r="AJ5" s="33" t="s">
        <v>49</v>
      </c>
      <c r="AK5" s="33" t="s">
        <v>24</v>
      </c>
      <c r="AL5" s="33" t="s">
        <v>85</v>
      </c>
    </row>
    <row r="6" spans="2:38" ht="16" thickTop="1" x14ac:dyDescent="0.2">
      <c r="B6" s="46"/>
      <c r="C6" s="79"/>
      <c r="D6" s="45"/>
      <c r="E6" s="45"/>
      <c r="F6" s="45"/>
      <c r="G6" s="45"/>
      <c r="H6" s="45"/>
      <c r="I6" s="45"/>
      <c r="J6" s="4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</row>
    <row r="7" spans="2:38" ht="16" thickBot="1" x14ac:dyDescent="0.25">
      <c r="B7" s="46"/>
      <c r="C7" s="79" t="s">
        <v>17</v>
      </c>
      <c r="D7" s="130" t="s">
        <v>186</v>
      </c>
      <c r="E7" s="133">
        <f>E8-F8/100*E8</f>
        <v>12.999999999999993</v>
      </c>
      <c r="F7" s="45"/>
      <c r="G7" s="45"/>
      <c r="H7" s="45"/>
      <c r="I7" s="45"/>
      <c r="J7" s="45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</row>
    <row r="8" spans="2:38" ht="16" thickBot="1" x14ac:dyDescent="0.25">
      <c r="C8" t="s">
        <v>192</v>
      </c>
      <c r="D8" s="2">
        <v>166639</v>
      </c>
      <c r="E8" s="42">
        <f>D8/D$13*100</f>
        <v>47.18325811073295</v>
      </c>
      <c r="F8" s="35">
        <v>72.447854343821078</v>
      </c>
      <c r="G8" s="90" t="s">
        <v>132</v>
      </c>
    </row>
    <row r="9" spans="2:38" ht="16" x14ac:dyDescent="0.2">
      <c r="B9" s="6">
        <f>Additional!D35</f>
        <v>146.51074672509696</v>
      </c>
      <c r="C9" s="4" t="s">
        <v>1</v>
      </c>
      <c r="D9" s="2">
        <v>23781</v>
      </c>
      <c r="E9" s="41">
        <f>D9/D$13*100+F8/100*E8</f>
        <v>40.916766239870434</v>
      </c>
      <c r="F9" s="5">
        <f>Additional!D34</f>
        <v>44.031022001057181</v>
      </c>
      <c r="G9" s="21">
        <f>1/F9*E9/100</f>
        <v>9.2927132690420015E-3</v>
      </c>
      <c r="H9" s="21">
        <f>G9*B9</f>
        <v>1.3614823601495605</v>
      </c>
      <c r="I9" s="92">
        <f>1/H$13*H9</f>
        <v>0.50213638906899827</v>
      </c>
      <c r="J9" s="21">
        <f>I9/B9</f>
        <v>3.4273007290801243E-3</v>
      </c>
      <c r="K9" s="9">
        <v>1.0029428881067164</v>
      </c>
      <c r="L9" s="9">
        <v>1.6304601979700461E-4</v>
      </c>
      <c r="M9" s="9">
        <v>1.2539946357386646E-3</v>
      </c>
      <c r="N9" s="14">
        <v>3.0515208346036465E-4</v>
      </c>
      <c r="O9" s="14">
        <v>0.1839475062987895</v>
      </c>
      <c r="P9" s="14">
        <v>1.8003672628055496</v>
      </c>
      <c r="Q9" s="14">
        <v>3.1198940297381189E-3</v>
      </c>
      <c r="R9" s="14">
        <v>1.9744983180175874E-3</v>
      </c>
      <c r="S9" s="14">
        <v>2.1834784079094926E-4</v>
      </c>
      <c r="T9" s="14">
        <v>9.1087060678894977E-5</v>
      </c>
      <c r="U9" s="14">
        <v>4</v>
      </c>
      <c r="V9" s="14">
        <v>0</v>
      </c>
      <c r="X9" s="92">
        <f>I9-V9*Additional!$B$21/B9*I9</f>
        <v>0.50213638906899827</v>
      </c>
      <c r="Y9" s="92">
        <f>1/X$13*X9</f>
        <v>0.5228279395868568</v>
      </c>
      <c r="Z9" s="21">
        <f>Y9/(B9-V9*Additional!$B$21)</f>
        <v>3.5685296217065664E-3</v>
      </c>
      <c r="AA9" s="5">
        <f>K9</f>
        <v>1.0029428881067164</v>
      </c>
      <c r="AB9" s="5">
        <f t="shared" ref="AB9:AL9" si="0">L9</f>
        <v>1.6304601979700461E-4</v>
      </c>
      <c r="AC9" s="5">
        <f t="shared" si="0"/>
        <v>1.2539946357386646E-3</v>
      </c>
      <c r="AD9" s="5">
        <f t="shared" si="0"/>
        <v>3.0515208346036465E-4</v>
      </c>
      <c r="AE9" s="5">
        <f t="shared" si="0"/>
        <v>0.1839475062987895</v>
      </c>
      <c r="AF9" s="5">
        <f t="shared" si="0"/>
        <v>1.8003672628055496</v>
      </c>
      <c r="AG9" s="5">
        <f t="shared" si="0"/>
        <v>3.1198940297381189E-3</v>
      </c>
      <c r="AH9" s="5">
        <f t="shared" si="0"/>
        <v>1.9744983180175874E-3</v>
      </c>
      <c r="AI9" s="5">
        <f t="shared" si="0"/>
        <v>2.1834784079094926E-4</v>
      </c>
      <c r="AJ9" s="5">
        <f t="shared" si="0"/>
        <v>9.1087060678894977E-5</v>
      </c>
      <c r="AK9" s="5">
        <f t="shared" si="0"/>
        <v>4</v>
      </c>
      <c r="AL9" s="5">
        <f t="shared" si="0"/>
        <v>0</v>
      </c>
    </row>
    <row r="10" spans="2:38" ht="16" x14ac:dyDescent="0.2">
      <c r="B10" s="6">
        <f>Additional!F35</f>
        <v>566.6210544465514</v>
      </c>
      <c r="C10" s="4" t="s">
        <v>8</v>
      </c>
      <c r="D10" s="2">
        <v>109200</v>
      </c>
      <c r="E10" s="41">
        <f>D10/D$13*100</f>
        <v>30.919603368311371</v>
      </c>
      <c r="F10" s="5">
        <f>Additional!F34</f>
        <v>207.63645266510497</v>
      </c>
      <c r="G10" s="21">
        <f t="shared" ref="G10:G12" si="1">1/F10*E10/100</f>
        <v>1.48912211567115E-3</v>
      </c>
      <c r="H10" s="21">
        <f t="shared" ref="H10:H12" si="2">G10*B10</f>
        <v>0.84376794338126648</v>
      </c>
      <c r="I10" s="92">
        <f t="shared" ref="I10:I12" si="3">1/H$13*H10</f>
        <v>0.31119506260448471</v>
      </c>
      <c r="J10" s="21">
        <f t="shared" ref="J10:J12" si="4">I10/B10</f>
        <v>5.492119647909048E-4</v>
      </c>
      <c r="K10" s="9">
        <v>3.3606781093794176</v>
      </c>
      <c r="L10" s="9">
        <v>5.4491832816238532E-4</v>
      </c>
      <c r="M10" s="9">
        <v>1.4937835326301225</v>
      </c>
      <c r="N10" s="14">
        <v>7.1230376114233694E-4</v>
      </c>
      <c r="O10" s="14">
        <v>0.4177578111119522</v>
      </c>
      <c r="P10" s="14">
        <v>4.5894383963397667</v>
      </c>
      <c r="Q10" s="14">
        <v>4.7489029251805296E-3</v>
      </c>
      <c r="R10" s="14">
        <v>1.0651103760304457E-2</v>
      </c>
      <c r="S10" s="14">
        <v>8.2780265179108799E-3</v>
      </c>
      <c r="T10" s="14">
        <v>1.7764640895874713E-3</v>
      </c>
      <c r="U10" s="14">
        <v>14</v>
      </c>
      <c r="V10" s="14">
        <v>4</v>
      </c>
      <c r="X10" s="92">
        <f>I10-V10*Additional!$B$21/B10*I10</f>
        <v>0.27161884842165213</v>
      </c>
      <c r="Y10" s="92">
        <f t="shared" ref="Y10:Y12" si="5">1/X$13*X10</f>
        <v>0.28281145514378092</v>
      </c>
      <c r="Z10" s="21">
        <f>Y10/(B10-V10*Additional!$B$21)</f>
        <v>5.7184336008881016E-4</v>
      </c>
      <c r="AA10" s="5">
        <f t="shared" ref="AA10:AA12" si="6">K10</f>
        <v>3.3606781093794176</v>
      </c>
      <c r="AB10" s="5">
        <f t="shared" ref="AB10:AB12" si="7">L10</f>
        <v>5.4491832816238532E-4</v>
      </c>
      <c r="AC10" s="5">
        <f t="shared" ref="AC10:AC12" si="8">M10</f>
        <v>1.4937835326301225</v>
      </c>
      <c r="AD10" s="5">
        <f t="shared" ref="AD10:AD12" si="9">N10</f>
        <v>7.1230376114233694E-4</v>
      </c>
      <c r="AE10" s="5">
        <f t="shared" ref="AE10:AE12" si="10">O10</f>
        <v>0.4177578111119522</v>
      </c>
      <c r="AF10" s="5">
        <f t="shared" ref="AF10:AF12" si="11">P10</f>
        <v>4.5894383963397667</v>
      </c>
      <c r="AG10" s="5">
        <f t="shared" ref="AG10:AG12" si="12">Q10</f>
        <v>4.7489029251805296E-3</v>
      </c>
      <c r="AH10" s="5">
        <f t="shared" ref="AH10:AH12" si="13">R10</f>
        <v>1.0651103760304457E-2</v>
      </c>
      <c r="AI10" s="5">
        <f t="shared" ref="AI10:AI12" si="14">S10</f>
        <v>8.2780265179108799E-3</v>
      </c>
      <c r="AJ10" s="5">
        <f t="shared" ref="AJ10:AJ12" si="15">T10</f>
        <v>1.7764640895874713E-3</v>
      </c>
      <c r="AK10" s="5">
        <f t="shared" ref="AK10:AK12" si="16">U10</f>
        <v>14</v>
      </c>
      <c r="AL10" s="169">
        <v>0</v>
      </c>
    </row>
    <row r="11" spans="2:38" x14ac:dyDescent="0.2">
      <c r="B11" s="6">
        <f>Additional!G35</f>
        <v>221.37331135749662</v>
      </c>
      <c r="C11" s="4" t="s">
        <v>22</v>
      </c>
      <c r="D11" s="2">
        <v>53092</v>
      </c>
      <c r="E11" s="41">
        <f>D11/D$13*100</f>
        <v>15.032816685259956</v>
      </c>
      <c r="F11" s="5">
        <f>Additional!G34</f>
        <v>66.402534375167193</v>
      </c>
      <c r="G11" s="21">
        <f t="shared" si="1"/>
        <v>2.2638920075438921E-3</v>
      </c>
      <c r="H11" s="21">
        <f t="shared" si="2"/>
        <v>0.50116527026576208</v>
      </c>
      <c r="I11" s="92">
        <f t="shared" si="3"/>
        <v>0.18483773753072638</v>
      </c>
      <c r="J11" s="21">
        <f t="shared" si="4"/>
        <v>8.3495944654426383E-4</v>
      </c>
      <c r="K11" s="10">
        <v>1.95337514306629</v>
      </c>
      <c r="L11" s="10">
        <v>2.3652839347739382E-4</v>
      </c>
      <c r="M11" s="10">
        <v>7.6226799893579458E-2</v>
      </c>
      <c r="N11" s="15">
        <v>1.344427176697546E-4</v>
      </c>
      <c r="O11" s="15">
        <v>0.13944814571137432</v>
      </c>
      <c r="P11" s="15">
        <v>0.83323512309123315</v>
      </c>
      <c r="Q11" s="15">
        <v>5.6899117689896122E-3</v>
      </c>
      <c r="R11" s="15">
        <v>0.99703690088745656</v>
      </c>
      <c r="S11" s="15">
        <v>5.4750192027579652E-3</v>
      </c>
      <c r="T11" s="15">
        <v>1.7440420631630033E-4</v>
      </c>
      <c r="U11" s="15">
        <v>6</v>
      </c>
      <c r="V11" s="15">
        <v>0</v>
      </c>
      <c r="X11" s="92">
        <f>I11-V11*Additional!$B$21/B11*I11</f>
        <v>0.18483773753072638</v>
      </c>
      <c r="Y11" s="92">
        <f t="shared" si="5"/>
        <v>0.19245435219355689</v>
      </c>
      <c r="Z11" s="21">
        <f>Y11/(B11-V11*Additional!$B$21)</f>
        <v>8.6936564761757392E-4</v>
      </c>
      <c r="AA11" s="5">
        <f t="shared" si="6"/>
        <v>1.95337514306629</v>
      </c>
      <c r="AB11" s="5">
        <f t="shared" si="7"/>
        <v>2.3652839347739382E-4</v>
      </c>
      <c r="AC11" s="5">
        <f t="shared" si="8"/>
        <v>7.6226799893579458E-2</v>
      </c>
      <c r="AD11" s="5">
        <f t="shared" si="9"/>
        <v>1.344427176697546E-4</v>
      </c>
      <c r="AE11" s="5">
        <f t="shared" si="10"/>
        <v>0.13944814571137432</v>
      </c>
      <c r="AF11" s="5">
        <f t="shared" si="11"/>
        <v>0.83323512309123315</v>
      </c>
      <c r="AG11" s="5">
        <f t="shared" si="12"/>
        <v>5.6899117689896122E-3</v>
      </c>
      <c r="AH11" s="5">
        <f t="shared" si="13"/>
        <v>0.99703690088745656</v>
      </c>
      <c r="AI11" s="5">
        <f t="shared" si="14"/>
        <v>5.4750192027579652E-3</v>
      </c>
      <c r="AJ11" s="5">
        <f t="shared" si="15"/>
        <v>1.7440420631630033E-4</v>
      </c>
      <c r="AK11" s="5">
        <f t="shared" si="16"/>
        <v>6</v>
      </c>
      <c r="AL11" s="5">
        <f t="shared" ref="AL11:AL12" si="17">V11</f>
        <v>0</v>
      </c>
    </row>
    <row r="12" spans="2:38" x14ac:dyDescent="0.2">
      <c r="B12" s="6">
        <f>Additional!I35</f>
        <v>495.49474835957432</v>
      </c>
      <c r="C12" s="4" t="s">
        <v>23</v>
      </c>
      <c r="D12" s="2">
        <v>462</v>
      </c>
      <c r="E12" s="41">
        <f>D12/D$13*100</f>
        <v>0.1308137065582404</v>
      </c>
      <c r="F12" s="5">
        <f>Additional!I34</f>
        <v>130.57454432645295</v>
      </c>
      <c r="G12" s="21">
        <f t="shared" si="1"/>
        <v>1.001831614523498E-5</v>
      </c>
      <c r="H12" s="21">
        <f t="shared" si="2"/>
        <v>4.9640230373698673E-3</v>
      </c>
      <c r="I12" s="92">
        <f t="shared" si="3"/>
        <v>1.8308107957905595E-3</v>
      </c>
      <c r="J12" s="21">
        <f t="shared" si="4"/>
        <v>3.6949146319951771E-6</v>
      </c>
      <c r="K12" s="10">
        <v>3.0050129079855519</v>
      </c>
      <c r="L12" s="10">
        <v>4.1519171765445626E-3</v>
      </c>
      <c r="M12" s="10">
        <v>0.37324775368921381</v>
      </c>
      <c r="N12" s="15">
        <v>7.6619178195747308E-5</v>
      </c>
      <c r="O12" s="15">
        <v>1.543536057280442</v>
      </c>
      <c r="P12" s="15">
        <v>0.10439734298717381</v>
      </c>
      <c r="Q12" s="16">
        <v>0</v>
      </c>
      <c r="R12" s="15">
        <v>2.9948525411663613</v>
      </c>
      <c r="S12" s="15">
        <v>2.8474954437606938E-3</v>
      </c>
      <c r="T12" s="15">
        <v>2.130456009300876E-4</v>
      </c>
      <c r="U12" s="15">
        <v>12</v>
      </c>
      <c r="V12" s="15">
        <v>0</v>
      </c>
      <c r="X12" s="92">
        <f>I12-V12*Additional!$B$21/B12*I12</f>
        <v>1.8308107957905595E-3</v>
      </c>
      <c r="Y12" s="92">
        <f t="shared" si="5"/>
        <v>1.906253075805314E-3</v>
      </c>
      <c r="Z12" s="21">
        <f>Y12/(B12-V12*Additional!$B$21)</f>
        <v>3.8471710994239845E-6</v>
      </c>
      <c r="AA12" s="5">
        <f t="shared" si="6"/>
        <v>3.0050129079855519</v>
      </c>
      <c r="AB12" s="5">
        <f t="shared" si="7"/>
        <v>4.1519171765445626E-3</v>
      </c>
      <c r="AC12" s="5">
        <f t="shared" si="8"/>
        <v>0.37324775368921381</v>
      </c>
      <c r="AD12" s="5">
        <f t="shared" si="9"/>
        <v>7.6619178195747308E-5</v>
      </c>
      <c r="AE12" s="5">
        <f t="shared" si="10"/>
        <v>1.543536057280442</v>
      </c>
      <c r="AF12" s="5">
        <f t="shared" si="11"/>
        <v>0.10439734298717381</v>
      </c>
      <c r="AG12" s="5">
        <f t="shared" si="12"/>
        <v>0</v>
      </c>
      <c r="AH12" s="5">
        <f t="shared" si="13"/>
        <v>2.9948525411663613</v>
      </c>
      <c r="AI12" s="5">
        <f t="shared" si="14"/>
        <v>2.8474954437606938E-3</v>
      </c>
      <c r="AJ12" s="5">
        <f t="shared" si="15"/>
        <v>2.130456009300876E-4</v>
      </c>
      <c r="AK12" s="5">
        <f t="shared" si="16"/>
        <v>12</v>
      </c>
      <c r="AL12" s="5">
        <f t="shared" si="17"/>
        <v>0</v>
      </c>
    </row>
    <row r="13" spans="2:38" x14ac:dyDescent="0.2">
      <c r="C13" s="20" t="s">
        <v>81</v>
      </c>
      <c r="D13" s="2">
        <f>SUM(D8:D12)</f>
        <v>353174</v>
      </c>
      <c r="G13" s="21">
        <f>SUM(G8:G12)</f>
        <v>1.305574570840228E-2</v>
      </c>
      <c r="H13" s="21">
        <f>SUM(H8:H12)</f>
        <v>2.7113795968339591</v>
      </c>
      <c r="I13" s="92">
        <f>SUM(I8:I12)</f>
        <v>0.99999999999999989</v>
      </c>
      <c r="J13" s="21" t="s">
        <v>39</v>
      </c>
      <c r="K13" s="27">
        <f>SUMPRODUCT($J9:$J12,K9:K12)</f>
        <v>6.9252038136269293E-3</v>
      </c>
      <c r="L13" s="27">
        <f t="shared" ref="L13:V13" si="18">SUMPRODUCT($J9:$J12,L9:L12)</f>
        <v>1.07091600422086E-6</v>
      </c>
      <c r="M13" s="27">
        <f t="shared" si="18"/>
        <v>8.8972701089486703E-4</v>
      </c>
      <c r="N13" s="27">
        <f t="shared" si="18"/>
        <v>1.549591024769013E-6</v>
      </c>
      <c r="O13" s="27">
        <f t="shared" si="18"/>
        <v>9.8201779122570557E-4</v>
      </c>
      <c r="P13" s="27">
        <f t="shared" si="18"/>
        <v>9.3870777878536735E-3</v>
      </c>
      <c r="Q13" s="27">
        <f t="shared" si="18"/>
        <v>1.8051814970435114E-5</v>
      </c>
      <c r="R13" s="27">
        <f t="shared" si="18"/>
        <v>8.5616801657252008E-4</v>
      </c>
      <c r="S13" s="27">
        <f t="shared" si="18"/>
        <v>9.8766751783626345E-6</v>
      </c>
      <c r="T13" s="27">
        <f t="shared" si="18"/>
        <v>1.4342457073863718E-6</v>
      </c>
      <c r="U13" s="27">
        <f t="shared" si="18"/>
        <v>2.6452266078242689E-2</v>
      </c>
      <c r="V13" s="27">
        <f t="shared" si="18"/>
        <v>2.1968478591636192E-3</v>
      </c>
      <c r="X13" s="92">
        <f>SUM(X9:X12)</f>
        <v>0.96042378581716736</v>
      </c>
      <c r="Y13" s="92">
        <f>SUM(Y9:Y12)</f>
        <v>0.99999999999999989</v>
      </c>
      <c r="Z13" s="21" t="s">
        <v>97</v>
      </c>
      <c r="AA13" s="170">
        <f>SUMPRODUCT($Z9:$Z12,AA9:AA12)</f>
        <v>7.210570912438082E-3</v>
      </c>
      <c r="AB13" s="170">
        <f t="shared" ref="AB13:AL13" si="19">SUMPRODUCT($Z9:$Z12,AB9:AB12)</f>
        <v>1.1150452748415446E-6</v>
      </c>
      <c r="AC13" s="170">
        <f t="shared" si="19"/>
        <v>9.2639002077385152E-4</v>
      </c>
      <c r="AD13" s="170">
        <f t="shared" si="19"/>
        <v>1.6134450725317659E-6</v>
      </c>
      <c r="AE13" s="170">
        <f t="shared" si="19"/>
        <v>1.0224838302918175E-3</v>
      </c>
      <c r="AF13" s="170">
        <f t="shared" si="19"/>
        <v>9.7738914076006232E-3</v>
      </c>
      <c r="AG13" s="170">
        <f t="shared" si="19"/>
        <v>1.8795676697111268E-5</v>
      </c>
      <c r="AH13" s="170">
        <f t="shared" si="19"/>
        <v>8.9144815988085691E-4</v>
      </c>
      <c r="AI13" s="170">
        <f t="shared" si="19"/>
        <v>1.0283663653705912E-5</v>
      </c>
      <c r="AJ13" s="170">
        <f t="shared" si="19"/>
        <v>1.4933467169037859E-6</v>
      </c>
      <c r="AK13" s="170">
        <f t="shared" si="19"/>
        <v>2.7542285466968141E-2</v>
      </c>
      <c r="AL13" s="170">
        <f t="shared" si="19"/>
        <v>0</v>
      </c>
    </row>
    <row r="14" spans="2:38" x14ac:dyDescent="0.2">
      <c r="I14" s="92"/>
      <c r="K14" s="171">
        <f>SUMPRODUCT($G9:$G12,K9:K12)</f>
        <v>1.8776856324184781E-2</v>
      </c>
      <c r="L14" s="171">
        <f t="shared" ref="L14:V14" si="20">SUMPRODUCT($G9:$G12,L9:L12)</f>
        <v>2.9036598037673901E-6</v>
      </c>
      <c r="M14" s="171">
        <f t="shared" si="20"/>
        <v>2.412387664092408E-3</v>
      </c>
      <c r="N14" s="171">
        <f t="shared" si="20"/>
        <v>4.2015294879957273E-6</v>
      </c>
      <c r="O14" s="171">
        <f t="shared" si="20"/>
        <v>2.6626230028573283E-3</v>
      </c>
      <c r="P14" s="171">
        <f t="shared" si="20"/>
        <v>2.5451931187879705E-2</v>
      </c>
      <c r="Q14" s="171">
        <f t="shared" si="20"/>
        <v>4.8945322796659587E-5</v>
      </c>
      <c r="R14" s="171">
        <f t="shared" si="20"/>
        <v>2.3213964915965303E-3</v>
      </c>
      <c r="S14" s="171">
        <f t="shared" si="20"/>
        <v>2.6779415563168856E-5</v>
      </c>
      <c r="T14" s="171">
        <f t="shared" si="20"/>
        <v>3.8887845478540971E-6</v>
      </c>
      <c r="U14" s="171">
        <f t="shared" si="20"/>
        <v>7.1722134534570284E-2</v>
      </c>
      <c r="V14" s="171">
        <f t="shared" si="20"/>
        <v>5.9564884626846001E-3</v>
      </c>
      <c r="AL14" s="4"/>
    </row>
    <row r="15" spans="2:38" ht="16" thickBot="1" x14ac:dyDescent="0.25">
      <c r="C15" s="1" t="s">
        <v>18</v>
      </c>
      <c r="D15" s="130" t="s">
        <v>186</v>
      </c>
      <c r="E15" s="41">
        <f>E16-F16/100*E16</f>
        <v>11</v>
      </c>
      <c r="I15" s="92"/>
      <c r="AL15" s="4"/>
    </row>
    <row r="16" spans="2:38" ht="16" thickBot="1" x14ac:dyDescent="0.25">
      <c r="C16" t="s">
        <v>192</v>
      </c>
      <c r="D16" s="2">
        <v>129051</v>
      </c>
      <c r="E16" s="42">
        <f>D16/D$21*100</f>
        <v>36.460337506250902</v>
      </c>
      <c r="F16" s="35">
        <v>69.830229909105697</v>
      </c>
      <c r="G16" s="90" t="s">
        <v>132</v>
      </c>
      <c r="I16" s="92"/>
      <c r="AL16" s="4"/>
    </row>
    <row r="17" spans="2:38" ht="16" x14ac:dyDescent="0.2">
      <c r="B17" s="6">
        <f>B9</f>
        <v>146.51074672509696</v>
      </c>
      <c r="C17" s="4" t="s">
        <v>1</v>
      </c>
      <c r="D17" s="2">
        <v>735</v>
      </c>
      <c r="E17" s="41">
        <f>D17/D$21*100+F16/100*E16</f>
        <v>25.667994541586502</v>
      </c>
      <c r="F17" s="5">
        <f>F9</f>
        <v>44.031022001057181</v>
      </c>
      <c r="G17" s="21">
        <f>1/F17*E17/100</f>
        <v>5.8295250428141814E-3</v>
      </c>
      <c r="H17" s="21">
        <f>G17*B17</f>
        <v>0.85408806707535856</v>
      </c>
      <c r="I17" s="92">
        <f>1/H$21*H17</f>
        <v>0.31652665437385763</v>
      </c>
      <c r="J17" s="21">
        <f>I17/B17</f>
        <v>2.1604330156597129E-3</v>
      </c>
      <c r="K17" s="9">
        <v>1.0029428881067164</v>
      </c>
      <c r="L17" s="9">
        <v>1.6304601979700461E-4</v>
      </c>
      <c r="M17" s="9">
        <v>1.2539946357386646E-3</v>
      </c>
      <c r="N17" s="14">
        <v>3.0515208346036465E-4</v>
      </c>
      <c r="O17" s="14">
        <v>0.1839475062987895</v>
      </c>
      <c r="P17" s="14">
        <v>1.8003672628055496</v>
      </c>
      <c r="Q17" s="14">
        <v>3.1198940297381189E-3</v>
      </c>
      <c r="R17" s="14">
        <v>1.9744983180175874E-3</v>
      </c>
      <c r="S17" s="14">
        <v>2.1834784079094926E-4</v>
      </c>
      <c r="T17" s="14">
        <v>9.1087060678894977E-5</v>
      </c>
      <c r="U17" s="14">
        <v>4</v>
      </c>
      <c r="V17" s="14">
        <v>0</v>
      </c>
      <c r="X17" s="92">
        <f>I17-V17*Additional!$B$21/B17*I17</f>
        <v>0.31652665437385763</v>
      </c>
      <c r="Y17" s="92">
        <f>1/X$21*X17</f>
        <v>0.33593822041605825</v>
      </c>
      <c r="Z17" s="21">
        <f>Y17/(B17-V17*Additional!$B$21)</f>
        <v>2.29292545376477E-3</v>
      </c>
      <c r="AA17" s="5">
        <f>K17</f>
        <v>1.0029428881067164</v>
      </c>
      <c r="AB17" s="5">
        <f t="shared" ref="AB17:AL17" si="21">L17</f>
        <v>1.6304601979700461E-4</v>
      </c>
      <c r="AC17" s="5">
        <f t="shared" si="21"/>
        <v>1.2539946357386646E-3</v>
      </c>
      <c r="AD17" s="5">
        <f t="shared" si="21"/>
        <v>3.0515208346036465E-4</v>
      </c>
      <c r="AE17" s="5">
        <f t="shared" si="21"/>
        <v>0.1839475062987895</v>
      </c>
      <c r="AF17" s="5">
        <f t="shared" si="21"/>
        <v>1.8003672628055496</v>
      </c>
      <c r="AG17" s="5">
        <f t="shared" si="21"/>
        <v>3.1198940297381189E-3</v>
      </c>
      <c r="AH17" s="5">
        <f t="shared" si="21"/>
        <v>1.9744983180175874E-3</v>
      </c>
      <c r="AI17" s="5">
        <f t="shared" si="21"/>
        <v>2.1834784079094926E-4</v>
      </c>
      <c r="AJ17" s="5">
        <f t="shared" si="21"/>
        <v>9.1087060678894977E-5</v>
      </c>
      <c r="AK17" s="5">
        <f t="shared" si="21"/>
        <v>4</v>
      </c>
      <c r="AL17" s="5">
        <f t="shared" si="21"/>
        <v>0</v>
      </c>
    </row>
    <row r="18" spans="2:38" ht="16" x14ac:dyDescent="0.2">
      <c r="B18" s="6">
        <f>B10</f>
        <v>566.6210544465514</v>
      </c>
      <c r="C18" s="4" t="s">
        <v>8</v>
      </c>
      <c r="D18" s="2">
        <v>159017</v>
      </c>
      <c r="E18" s="41">
        <f>D18/D$21*100</f>
        <v>44.926528963212213</v>
      </c>
      <c r="F18" s="5">
        <f>F10</f>
        <v>207.63645266510497</v>
      </c>
      <c r="G18" s="21">
        <f>1/F18*E18/100</f>
        <v>2.1637110626077701E-3</v>
      </c>
      <c r="H18" s="21">
        <f>G18*B18</f>
        <v>1.226004243812483</v>
      </c>
      <c r="I18" s="92">
        <f t="shared" ref="I18:I20" si="22">1/H$21*H18</f>
        <v>0.4543594934781785</v>
      </c>
      <c r="J18" s="21">
        <f t="shared" ref="J18:J20" si="23">I18/B18</f>
        <v>8.0187541552259351E-4</v>
      </c>
      <c r="K18" s="9">
        <v>3.3606781093794176</v>
      </c>
      <c r="L18" s="9">
        <v>5.4491832816238532E-4</v>
      </c>
      <c r="M18" s="9">
        <v>1.4937835326301225</v>
      </c>
      <c r="N18" s="14">
        <v>7.1230376114233694E-4</v>
      </c>
      <c r="O18" s="14">
        <v>0.4177578111119522</v>
      </c>
      <c r="P18" s="14">
        <v>4.5894383963397667</v>
      </c>
      <c r="Q18" s="14">
        <v>4.7489029251805296E-3</v>
      </c>
      <c r="R18" s="14">
        <v>1.0651103760304457E-2</v>
      </c>
      <c r="S18" s="14">
        <v>8.2780265179108799E-3</v>
      </c>
      <c r="T18" s="14">
        <v>1.7764640895874713E-3</v>
      </c>
      <c r="U18" s="14">
        <v>14</v>
      </c>
      <c r="V18" s="14">
        <v>4</v>
      </c>
      <c r="X18" s="92">
        <f>I18-V18*Additional!$B$21/B18*I18</f>
        <v>0.39657635103562039</v>
      </c>
      <c r="Y18" s="92">
        <f t="shared" ref="Y18:Y20" si="24">1/X$21*X18</f>
        <v>0.42089710861646656</v>
      </c>
      <c r="Z18" s="21">
        <f>Y18/(B18-V18*Additional!$B$21)</f>
        <v>8.5105186676593455E-4</v>
      </c>
      <c r="AA18" s="5">
        <f t="shared" ref="AA18:AA20" si="25">K18</f>
        <v>3.3606781093794176</v>
      </c>
      <c r="AB18" s="5">
        <f t="shared" ref="AB18:AB20" si="26">L18</f>
        <v>5.4491832816238532E-4</v>
      </c>
      <c r="AC18" s="5">
        <f t="shared" ref="AC18:AC20" si="27">M18</f>
        <v>1.4937835326301225</v>
      </c>
      <c r="AD18" s="5">
        <f t="shared" ref="AD18:AD20" si="28">N18</f>
        <v>7.1230376114233694E-4</v>
      </c>
      <c r="AE18" s="5">
        <f t="shared" ref="AE18:AE20" si="29">O18</f>
        <v>0.4177578111119522</v>
      </c>
      <c r="AF18" s="5">
        <f t="shared" ref="AF18:AF20" si="30">P18</f>
        <v>4.5894383963397667</v>
      </c>
      <c r="AG18" s="5">
        <f t="shared" ref="AG18:AG20" si="31">Q18</f>
        <v>4.7489029251805296E-3</v>
      </c>
      <c r="AH18" s="5">
        <f t="shared" ref="AH18:AH20" si="32">R18</f>
        <v>1.0651103760304457E-2</v>
      </c>
      <c r="AI18" s="5">
        <f t="shared" ref="AI18:AI20" si="33">S18</f>
        <v>8.2780265179108799E-3</v>
      </c>
      <c r="AJ18" s="5">
        <f t="shared" ref="AJ18:AJ20" si="34">T18</f>
        <v>1.7764640895874713E-3</v>
      </c>
      <c r="AK18" s="5">
        <f t="shared" ref="AK18:AK20" si="35">U18</f>
        <v>14</v>
      </c>
      <c r="AL18" s="169">
        <v>0</v>
      </c>
    </row>
    <row r="19" spans="2:38" x14ac:dyDescent="0.2">
      <c r="B19" s="6">
        <f>B11</f>
        <v>221.37331135749662</v>
      </c>
      <c r="C19" s="4" t="s">
        <v>22</v>
      </c>
      <c r="D19" s="2">
        <v>61600</v>
      </c>
      <c r="E19" s="41">
        <f>D19/D$21*100</f>
        <v>17.403637247174029</v>
      </c>
      <c r="F19" s="5">
        <f>F11</f>
        <v>66.402534375167193</v>
      </c>
      <c r="G19" s="21">
        <f t="shared" ref="G19:G20" si="36">1/F19*E19/100</f>
        <v>2.6209296694679374E-3</v>
      </c>
      <c r="H19" s="21">
        <f t="shared" ref="H19:H20" si="37">G19*B19</f>
        <v>0.58020387976522636</v>
      </c>
      <c r="I19" s="92">
        <f t="shared" si="22"/>
        <v>0.21502465611735927</v>
      </c>
      <c r="J19" s="21">
        <f t="shared" si="23"/>
        <v>9.7132149670072518E-4</v>
      </c>
      <c r="K19" s="10">
        <v>1.95337514306629</v>
      </c>
      <c r="L19" s="10">
        <v>2.3652839347739382E-4</v>
      </c>
      <c r="M19" s="10">
        <v>7.6226799893579458E-2</v>
      </c>
      <c r="N19" s="15">
        <v>1.344427176697546E-4</v>
      </c>
      <c r="O19" s="15">
        <v>0.13944814571137432</v>
      </c>
      <c r="P19" s="15">
        <v>0.83323512309123315</v>
      </c>
      <c r="Q19" s="15">
        <v>5.6899117689896122E-3</v>
      </c>
      <c r="R19" s="15">
        <v>0.99703690088745656</v>
      </c>
      <c r="S19" s="15">
        <v>5.4750192027579652E-3</v>
      </c>
      <c r="T19" s="15">
        <v>1.7440420631630033E-4</v>
      </c>
      <c r="U19" s="15">
        <v>6</v>
      </c>
      <c r="V19" s="15">
        <v>0</v>
      </c>
      <c r="X19" s="92">
        <f>I19-V19*Additional!$B$21/B19*I19</f>
        <v>0.21502465611735927</v>
      </c>
      <c r="Y19" s="92">
        <f t="shared" si="24"/>
        <v>0.22821142966469415</v>
      </c>
      <c r="Z19" s="21">
        <f>Y19/(B19-V19*Additional!$B$21)</f>
        <v>1.0308895334548917E-3</v>
      </c>
      <c r="AA19" s="5">
        <f t="shared" si="25"/>
        <v>1.95337514306629</v>
      </c>
      <c r="AB19" s="5">
        <f t="shared" si="26"/>
        <v>2.3652839347739382E-4</v>
      </c>
      <c r="AC19" s="5">
        <f t="shared" si="27"/>
        <v>7.6226799893579458E-2</v>
      </c>
      <c r="AD19" s="5">
        <f t="shared" si="28"/>
        <v>1.344427176697546E-4</v>
      </c>
      <c r="AE19" s="5">
        <f t="shared" si="29"/>
        <v>0.13944814571137432</v>
      </c>
      <c r="AF19" s="5">
        <f t="shared" si="30"/>
        <v>0.83323512309123315</v>
      </c>
      <c r="AG19" s="5">
        <f t="shared" si="31"/>
        <v>5.6899117689896122E-3</v>
      </c>
      <c r="AH19" s="5">
        <f t="shared" si="32"/>
        <v>0.99703690088745656</v>
      </c>
      <c r="AI19" s="5">
        <f t="shared" si="33"/>
        <v>5.4750192027579652E-3</v>
      </c>
      <c r="AJ19" s="5">
        <f t="shared" si="34"/>
        <v>1.7440420631630033E-4</v>
      </c>
      <c r="AK19" s="5">
        <f t="shared" si="35"/>
        <v>6</v>
      </c>
      <c r="AL19" s="5">
        <f t="shared" ref="AL19:AL20" si="38">V19</f>
        <v>0</v>
      </c>
    </row>
    <row r="20" spans="2:38" x14ac:dyDescent="0.2">
      <c r="B20" s="6">
        <f>B12</f>
        <v>495.49474835957432</v>
      </c>
      <c r="C20" s="4" t="s">
        <v>23</v>
      </c>
      <c r="D20" s="2">
        <v>3546</v>
      </c>
      <c r="E20" s="41">
        <f>D20/D$21*100</f>
        <v>1.0018392480272582</v>
      </c>
      <c r="F20" s="5">
        <f>F12</f>
        <v>130.57454432645295</v>
      </c>
      <c r="G20" s="21">
        <f t="shared" si="36"/>
        <v>7.6725463848645171E-5</v>
      </c>
      <c r="H20" s="21">
        <f t="shared" si="37"/>
        <v>3.8017064402456058E-2</v>
      </c>
      <c r="I20" s="92">
        <f t="shared" si="22"/>
        <v>1.4089196030604597E-2</v>
      </c>
      <c r="J20" s="21">
        <f t="shared" si="23"/>
        <v>2.8434602137054829E-5</v>
      </c>
      <c r="K20" s="10">
        <v>3.0050129079855519</v>
      </c>
      <c r="L20" s="10">
        <v>4.1519171765445626E-3</v>
      </c>
      <c r="M20" s="10">
        <v>0.37324775368921381</v>
      </c>
      <c r="N20" s="15">
        <v>7.6619178195747308E-5</v>
      </c>
      <c r="O20" s="15">
        <v>1.543536057280442</v>
      </c>
      <c r="P20" s="15">
        <v>0.10439734298717381</v>
      </c>
      <c r="Q20" s="16">
        <v>0</v>
      </c>
      <c r="R20" s="15">
        <v>2.9948525411663613</v>
      </c>
      <c r="S20" s="15">
        <v>2.8474954437606938E-3</v>
      </c>
      <c r="T20" s="15">
        <v>2.130456009300876E-4</v>
      </c>
      <c r="U20" s="15">
        <v>12</v>
      </c>
      <c r="V20" s="15">
        <v>0</v>
      </c>
      <c r="X20" s="92">
        <f>I20-V20*Additional!$B$21/B20*I20</f>
        <v>1.4089196030604597E-2</v>
      </c>
      <c r="Y20" s="92">
        <f t="shared" si="24"/>
        <v>1.4953241302781145E-2</v>
      </c>
      <c r="Z20" s="21">
        <f>Y20/(B20-V20*Additional!$B$21)</f>
        <v>3.0178405224851678E-5</v>
      </c>
      <c r="AA20" s="5">
        <f t="shared" si="25"/>
        <v>3.0050129079855519</v>
      </c>
      <c r="AB20" s="5">
        <f t="shared" si="26"/>
        <v>4.1519171765445626E-3</v>
      </c>
      <c r="AC20" s="5">
        <f t="shared" si="27"/>
        <v>0.37324775368921381</v>
      </c>
      <c r="AD20" s="5">
        <f t="shared" si="28"/>
        <v>7.6619178195747308E-5</v>
      </c>
      <c r="AE20" s="5">
        <f t="shared" si="29"/>
        <v>1.543536057280442</v>
      </c>
      <c r="AF20" s="5">
        <f t="shared" si="30"/>
        <v>0.10439734298717381</v>
      </c>
      <c r="AG20" s="5">
        <f t="shared" si="31"/>
        <v>0</v>
      </c>
      <c r="AH20" s="5">
        <f t="shared" si="32"/>
        <v>2.9948525411663613</v>
      </c>
      <c r="AI20" s="5">
        <f t="shared" si="33"/>
        <v>2.8474954437606938E-3</v>
      </c>
      <c r="AJ20" s="5">
        <f t="shared" si="34"/>
        <v>2.130456009300876E-4</v>
      </c>
      <c r="AK20" s="5">
        <f t="shared" si="35"/>
        <v>12</v>
      </c>
      <c r="AL20" s="5">
        <f t="shared" si="38"/>
        <v>0</v>
      </c>
    </row>
    <row r="21" spans="2:38" x14ac:dyDescent="0.2">
      <c r="C21" s="20" t="s">
        <v>81</v>
      </c>
      <c r="D21" s="2">
        <f>SUM(D16:D20)</f>
        <v>353949</v>
      </c>
      <c r="G21" s="21">
        <f>SUM(G16:G20)</f>
        <v>1.0690891238738533E-2</v>
      </c>
      <c r="H21" s="21">
        <f>SUM(H16:H20)</f>
        <v>2.698313255055524</v>
      </c>
      <c r="I21" s="92">
        <f>SUM(I16:I20)</f>
        <v>0.99999999999999989</v>
      </c>
      <c r="J21" s="21" t="s">
        <v>39</v>
      </c>
      <c r="K21" s="27">
        <f>SUMPRODUCT($J17:$J20,K17:K20)</f>
        <v>6.8444376977195853E-3</v>
      </c>
      <c r="L21" s="27">
        <f t="shared" ref="L21" si="39">SUMPRODUCT($J17:$J20,L17:L20)</f>
        <v>1.1370098412481744E-6</v>
      </c>
      <c r="M21" s="27">
        <f t="shared" ref="M21" si="40">SUMPRODUCT($J17:$J20,M17:M20)</f>
        <v>1.2851913430771376E-3</v>
      </c>
      <c r="N21" s="27">
        <f t="shared" ref="N21" si="41">SUMPRODUCT($J17:$J20,N17:N20)</f>
        <v>1.363205247945001E-6</v>
      </c>
      <c r="O21" s="27">
        <f t="shared" ref="O21" si="42">SUMPRODUCT($J17:$J20,O17:O20)</f>
        <v>9.1173479940686425E-4</v>
      </c>
      <c r="P21" s="27">
        <f t="shared" ref="P21" si="43">SUMPRODUCT($J17:$J20,P17:P20)</f>
        <v>8.3820383797349064E-3</v>
      </c>
      <c r="Q21" s="27">
        <f t="shared" ref="Q21" si="44">SUMPRODUCT($J17:$J20,Q17:Q20)</f>
        <v>1.6075084189161516E-5</v>
      </c>
      <c r="R21" s="27">
        <f t="shared" ref="R21" si="45">SUMPRODUCT($J17:$J20,R17:R20)</f>
        <v>1.0664074449122482E-3</v>
      </c>
      <c r="S21" s="27">
        <f t="shared" ref="S21" si="46">SUMPRODUCT($J17:$J20,S17:S20)</f>
        <v>1.2508643084418101E-5</v>
      </c>
      <c r="T21" s="27">
        <f t="shared" ref="T21" si="47">SUMPRODUCT($J17:$J20,T17:T20)</f>
        <v>1.7967507947985514E-6</v>
      </c>
      <c r="U21" s="27">
        <f t="shared" ref="U21" si="48">SUMPRODUCT($J17:$J20,U17:U20)</f>
        <v>2.603713208580417E-2</v>
      </c>
      <c r="V21" s="27">
        <f t="shared" ref="V21" si="49">SUMPRODUCT($J17:$J20,V17:V20)</f>
        <v>3.207501662090374E-3</v>
      </c>
      <c r="X21" s="92">
        <f>SUM(X17:X20)</f>
        <v>0.94221685755744178</v>
      </c>
      <c r="Y21" s="92">
        <f>SUM(Y17:Y20)</f>
        <v>1</v>
      </c>
      <c r="Z21" s="21" t="s">
        <v>97</v>
      </c>
      <c r="AA21" s="170">
        <f>SUMPRODUCT($Z17:$Z20,AA17:AA20)</f>
        <v>7.2641851425400946E-3</v>
      </c>
      <c r="AB21" s="170">
        <f t="shared" ref="AB21" si="50">SUMPRODUCT($Z17:$Z20,AB17:AB20)</f>
        <v>1.2067390135596861E-6</v>
      </c>
      <c r="AC21" s="170">
        <f t="shared" ref="AC21" si="51">SUMPRODUCT($Z17:$Z20,AC17:AC20)</f>
        <v>1.3640080123473977E-3</v>
      </c>
      <c r="AD21" s="170">
        <f t="shared" ref="AD21" si="52">SUMPRODUCT($Z17:$Z20,AD17:AD20)</f>
        <v>1.4468062601627713E-6</v>
      </c>
      <c r="AE21" s="170">
        <f t="shared" ref="AE21" si="53">SUMPRODUCT($Z17:$Z20,AE17:AE20)</f>
        <v>9.6764857484125488E-4</v>
      </c>
      <c r="AF21" s="170">
        <f t="shared" ref="AF21" si="54">SUMPRODUCT($Z17:$Z20,AF17:AF20)</f>
        <v>8.8960819502466818E-3</v>
      </c>
      <c r="AG21" s="170">
        <f t="shared" ref="AG21" si="55">SUMPRODUCT($Z17:$Z20,AG17:AG20)</f>
        <v>1.7060917622333569E-5</v>
      </c>
      <c r="AH21" s="170">
        <f t="shared" ref="AH21" si="56">SUMPRODUCT($Z17:$Z20,AH17:AH20)</f>
        <v>1.1318067983592994E-3</v>
      </c>
      <c r="AI21" s="170">
        <f t="shared" ref="AI21" si="57">SUMPRODUCT($Z17:$Z20,AI17:AI20)</f>
        <v>1.327575810609557E-5</v>
      </c>
      <c r="AJ21" s="170">
        <f t="shared" ref="AJ21" si="58">SUMPRODUCT($Z17:$Z20,AJ17:AJ20)</f>
        <v>1.9069397669835397E-6</v>
      </c>
      <c r="AK21" s="170">
        <f t="shared" ref="AK21" si="59">SUMPRODUCT($Z17:$Z20,AK17:AK20)</f>
        <v>2.7633906013209735E-2</v>
      </c>
      <c r="AL21" s="170">
        <f t="shared" ref="AL21" si="60">SUMPRODUCT($Z17:$Z20,AL17:AL20)</f>
        <v>0</v>
      </c>
    </row>
    <row r="22" spans="2:38" x14ac:dyDescent="0.2">
      <c r="I22" s="92"/>
      <c r="K22" s="171">
        <f>SUMPRODUCT($G17:$G20,K17:K20)</f>
        <v>1.8468436963158471E-2</v>
      </c>
      <c r="L22" s="171">
        <f t="shared" ref="L22:V22" si="61">SUMPRODUCT($G17:$G20,L17:L20)</f>
        <v>3.068008725768526E-6</v>
      </c>
      <c r="M22" s="171">
        <f t="shared" si="61"/>
        <v>3.467848836307652E-3</v>
      </c>
      <c r="N22" s="171">
        <f t="shared" si="61"/>
        <v>3.6783547898912477E-6</v>
      </c>
      <c r="O22" s="171">
        <f t="shared" si="61"/>
        <v>2.4601460943349312E-3</v>
      </c>
      <c r="P22" s="171">
        <f t="shared" si="61"/>
        <v>2.2617365264422831E-2</v>
      </c>
      <c r="Q22" s="171">
        <f t="shared" si="61"/>
        <v>4.3375612743748004E-5</v>
      </c>
      <c r="R22" s="171">
        <f t="shared" si="61"/>
        <v>2.8775013438966128E-3</v>
      </c>
      <c r="S22" s="171">
        <f t="shared" si="61"/>
        <v>3.3752237437443979E-5</v>
      </c>
      <c r="T22" s="171">
        <f t="shared" si="61"/>
        <v>4.8481964856364795E-6</v>
      </c>
      <c r="U22" s="171">
        <f t="shared" si="61"/>
        <v>7.0256338630756879E-2</v>
      </c>
      <c r="V22" s="171">
        <f t="shared" si="61"/>
        <v>8.6548442504310805E-3</v>
      </c>
      <c r="AL22" s="4"/>
    </row>
    <row r="23" spans="2:38" ht="16" thickBot="1" x14ac:dyDescent="0.25">
      <c r="C23" s="1" t="s">
        <v>19</v>
      </c>
      <c r="D23" s="130" t="s">
        <v>186</v>
      </c>
      <c r="E23" s="41">
        <f>E24-F24/100*E24</f>
        <v>13.999999999999993</v>
      </c>
      <c r="I23" s="92"/>
      <c r="AL23" s="4"/>
    </row>
    <row r="24" spans="2:38" ht="16" thickBot="1" x14ac:dyDescent="0.25">
      <c r="C24" t="s">
        <v>192</v>
      </c>
      <c r="D24" s="2">
        <v>96459</v>
      </c>
      <c r="E24" s="42">
        <f>D24/D$29*100</f>
        <v>27.448430506034104</v>
      </c>
      <c r="F24" s="35">
        <v>48.995262235768585</v>
      </c>
      <c r="G24" s="91" t="s">
        <v>134</v>
      </c>
      <c r="I24" s="92"/>
      <c r="AL24" s="4"/>
    </row>
    <row r="25" spans="2:38" ht="16" x14ac:dyDescent="0.2">
      <c r="B25" s="6">
        <f>B9</f>
        <v>146.51074672509696</v>
      </c>
      <c r="C25" s="4" t="s">
        <v>1</v>
      </c>
      <c r="D25" s="2">
        <v>1099</v>
      </c>
      <c r="E25" s="41">
        <f>D25/D$29*100+F24/100*E24</f>
        <v>13.761162600770025</v>
      </c>
      <c r="F25" s="5">
        <f>F17</f>
        <v>44.031022001057181</v>
      </c>
      <c r="G25" s="21">
        <f>1/F25*E25/100</f>
        <v>3.1253334525007436E-3</v>
      </c>
      <c r="H25" s="21">
        <f>G25*B25</f>
        <v>0.45789493789080932</v>
      </c>
      <c r="I25" s="92">
        <f>1/H$29*H25</f>
        <v>0.18687879436821903</v>
      </c>
      <c r="J25" s="21">
        <f>I25/B25</f>
        <v>1.2755296013804774E-3</v>
      </c>
      <c r="K25" s="9">
        <v>1.0029428881067164</v>
      </c>
      <c r="L25" s="9">
        <v>1.6304601979700461E-4</v>
      </c>
      <c r="M25" s="9">
        <v>1.2539946357386646E-3</v>
      </c>
      <c r="N25" s="14">
        <v>3.0515208346036465E-4</v>
      </c>
      <c r="O25" s="14">
        <v>0.1839475062987895</v>
      </c>
      <c r="P25" s="14">
        <v>1.8003672628055496</v>
      </c>
      <c r="Q25" s="14">
        <v>3.1198940297381189E-3</v>
      </c>
      <c r="R25" s="14">
        <v>1.9744983180175874E-3</v>
      </c>
      <c r="S25" s="14">
        <v>2.1834784079094926E-4</v>
      </c>
      <c r="T25" s="14">
        <v>9.1087060678894977E-5</v>
      </c>
      <c r="U25" s="14">
        <v>4</v>
      </c>
      <c r="V25" s="14">
        <v>0</v>
      </c>
      <c r="X25" s="92">
        <f>I25-V25*Additional!$B$21/B25*I25</f>
        <v>0.18687879436821903</v>
      </c>
      <c r="Y25" s="92">
        <f>1/X$29*X25</f>
        <v>0.20306880189660367</v>
      </c>
      <c r="Z25" s="21">
        <f>Y25/(B25-V25*Additional!$B$21)</f>
        <v>1.3860334919842329E-3</v>
      </c>
      <c r="AA25" s="5">
        <f>K25</f>
        <v>1.0029428881067164</v>
      </c>
      <c r="AB25" s="5">
        <f t="shared" ref="AB25:AL25" si="62">L25</f>
        <v>1.6304601979700461E-4</v>
      </c>
      <c r="AC25" s="5">
        <f t="shared" si="62"/>
        <v>1.2539946357386646E-3</v>
      </c>
      <c r="AD25" s="5">
        <f t="shared" si="62"/>
        <v>3.0515208346036465E-4</v>
      </c>
      <c r="AE25" s="5">
        <f t="shared" si="62"/>
        <v>0.1839475062987895</v>
      </c>
      <c r="AF25" s="5">
        <f t="shared" si="62"/>
        <v>1.8003672628055496</v>
      </c>
      <c r="AG25" s="5">
        <f t="shared" si="62"/>
        <v>3.1198940297381189E-3</v>
      </c>
      <c r="AH25" s="5">
        <f t="shared" si="62"/>
        <v>1.9744983180175874E-3</v>
      </c>
      <c r="AI25" s="5">
        <f t="shared" si="62"/>
        <v>2.1834784079094926E-4</v>
      </c>
      <c r="AJ25" s="5">
        <f t="shared" si="62"/>
        <v>9.1087060678894977E-5</v>
      </c>
      <c r="AK25" s="5">
        <f t="shared" si="62"/>
        <v>4</v>
      </c>
      <c r="AL25" s="5">
        <f t="shared" si="62"/>
        <v>0</v>
      </c>
    </row>
    <row r="26" spans="2:38" ht="16" x14ac:dyDescent="0.2">
      <c r="B26" s="6">
        <f>B10</f>
        <v>566.6210544465514</v>
      </c>
      <c r="C26" s="4" t="s">
        <v>8</v>
      </c>
      <c r="D26" s="2">
        <f>181399+3010</f>
        <v>184409</v>
      </c>
      <c r="E26" s="41">
        <f>D26/D$29*100</f>
        <v>52.475534902779877</v>
      </c>
      <c r="F26" s="5">
        <f>F18</f>
        <v>207.63645266510497</v>
      </c>
      <c r="G26" s="21">
        <f t="shared" ref="G26:G28" si="63">1/F26*E26/100</f>
        <v>2.5272794940018172E-3</v>
      </c>
      <c r="H26" s="21">
        <f t="shared" ref="H26:H28" si="64">G26*B26</f>
        <v>1.4320097717724565</v>
      </c>
      <c r="I26" s="92">
        <f t="shared" ref="I26:I28" si="65">1/H$29*H26</f>
        <v>0.58444031048921663</v>
      </c>
      <c r="J26" s="21">
        <f t="shared" ref="J26:J28" si="66">I26/B26</f>
        <v>1.0314482772971968E-3</v>
      </c>
      <c r="K26" s="9">
        <v>3.3606781093794176</v>
      </c>
      <c r="L26" s="9">
        <v>5.4491832816238532E-4</v>
      </c>
      <c r="M26" s="9">
        <v>1.4937835326301225</v>
      </c>
      <c r="N26" s="14">
        <v>7.1230376114233694E-4</v>
      </c>
      <c r="O26" s="14">
        <v>0.4177578111119522</v>
      </c>
      <c r="P26" s="14">
        <v>4.5894383963397667</v>
      </c>
      <c r="Q26" s="14">
        <v>4.7489029251805296E-3</v>
      </c>
      <c r="R26" s="14">
        <v>1.0651103760304457E-2</v>
      </c>
      <c r="S26" s="14">
        <v>8.2780265179108799E-3</v>
      </c>
      <c r="T26" s="14">
        <v>1.7764640895874713E-3</v>
      </c>
      <c r="U26" s="14">
        <v>14</v>
      </c>
      <c r="V26" s="14">
        <v>4</v>
      </c>
      <c r="X26" s="92">
        <f>I26-V26*Additional!$B$21/B26*I26</f>
        <v>0.51011414762718066</v>
      </c>
      <c r="Y26" s="92">
        <f t="shared" ref="Y26:Y28" si="67">1/X$29*X26</f>
        <v>0.55430724036592571</v>
      </c>
      <c r="Z26" s="21">
        <f>Y26/(B26-V26*Additional!$B$21)</f>
        <v>1.1208064917004727E-3</v>
      </c>
      <c r="AA26" s="5">
        <f t="shared" ref="AA26:AA28" si="68">K26</f>
        <v>3.3606781093794176</v>
      </c>
      <c r="AB26" s="5">
        <f t="shared" ref="AB26:AB28" si="69">L26</f>
        <v>5.4491832816238532E-4</v>
      </c>
      <c r="AC26" s="5">
        <f t="shared" ref="AC26:AC28" si="70">M26</f>
        <v>1.4937835326301225</v>
      </c>
      <c r="AD26" s="5">
        <f t="shared" ref="AD26:AD28" si="71">N26</f>
        <v>7.1230376114233694E-4</v>
      </c>
      <c r="AE26" s="5">
        <f t="shared" ref="AE26:AE28" si="72">O26</f>
        <v>0.4177578111119522</v>
      </c>
      <c r="AF26" s="5">
        <f t="shared" ref="AF26:AF28" si="73">P26</f>
        <v>4.5894383963397667</v>
      </c>
      <c r="AG26" s="5">
        <f t="shared" ref="AG26:AG28" si="74">Q26</f>
        <v>4.7489029251805296E-3</v>
      </c>
      <c r="AH26" s="5">
        <f t="shared" ref="AH26:AH28" si="75">R26</f>
        <v>1.0651103760304457E-2</v>
      </c>
      <c r="AI26" s="5">
        <f t="shared" ref="AI26:AI28" si="76">S26</f>
        <v>8.2780265179108799E-3</v>
      </c>
      <c r="AJ26" s="5">
        <f t="shared" ref="AJ26:AJ28" si="77">T26</f>
        <v>1.7764640895874713E-3</v>
      </c>
      <c r="AK26" s="5">
        <f t="shared" ref="AK26:AK28" si="78">U26</f>
        <v>14</v>
      </c>
      <c r="AL26" s="169">
        <v>0</v>
      </c>
    </row>
    <row r="27" spans="2:38" x14ac:dyDescent="0.2">
      <c r="B27" s="6">
        <f>Additional!H35</f>
        <v>718.18332223627351</v>
      </c>
      <c r="C27" s="4" t="s">
        <v>12</v>
      </c>
      <c r="D27" s="2">
        <f>55506+10807</f>
        <v>66313</v>
      </c>
      <c r="E27" s="41">
        <f>D27/D$29*100</f>
        <v>18.870066786371826</v>
      </c>
      <c r="F27" s="5">
        <f>Additional!H34</f>
        <v>256.89999999999998</v>
      </c>
      <c r="G27" s="21">
        <f t="shared" si="63"/>
        <v>7.3452965303121172E-4</v>
      </c>
      <c r="H27" s="21">
        <f t="shared" si="64"/>
        <v>0.52752694649501286</v>
      </c>
      <c r="I27" s="92">
        <f t="shared" si="65"/>
        <v>0.21529742218125253</v>
      </c>
      <c r="J27" s="21">
        <f t="shared" si="66"/>
        <v>2.9978059294228824E-4</v>
      </c>
      <c r="K27" s="10">
        <v>5.9203476522176262</v>
      </c>
      <c r="L27" s="10">
        <v>7.5749679064305794E-4</v>
      </c>
      <c r="M27" s="10">
        <v>5.151439626770328E-2</v>
      </c>
      <c r="N27" s="15">
        <v>1.1249854907259523E-3</v>
      </c>
      <c r="O27" s="15">
        <v>0.13705218527256152</v>
      </c>
      <c r="P27" s="15">
        <v>0.10377499848292993</v>
      </c>
      <c r="Q27" s="15">
        <v>2.0948457568566042E-2</v>
      </c>
      <c r="R27" s="15">
        <v>5.8161399666279436</v>
      </c>
      <c r="S27" s="15">
        <v>1.1483631302347846E-4</v>
      </c>
      <c r="T27" s="15">
        <v>0</v>
      </c>
      <c r="U27" s="15">
        <v>18</v>
      </c>
      <c r="V27" s="15">
        <v>1</v>
      </c>
      <c r="X27" s="92">
        <f>I27-V27*Additional!$B$21/B27*I27</f>
        <v>0.2098968747993972</v>
      </c>
      <c r="Y27" s="92">
        <f>1/X$29*X27</f>
        <v>0.2280810245563295</v>
      </c>
      <c r="Z27" s="21">
        <f>Y27/(B27-V27*Additional!$B$21)</f>
        <v>3.2575170471560265E-4</v>
      </c>
      <c r="AA27" s="5">
        <f t="shared" si="68"/>
        <v>5.9203476522176262</v>
      </c>
      <c r="AB27" s="5">
        <f t="shared" si="69"/>
        <v>7.5749679064305794E-4</v>
      </c>
      <c r="AC27" s="5">
        <f t="shared" si="70"/>
        <v>5.151439626770328E-2</v>
      </c>
      <c r="AD27" s="5">
        <f t="shared" si="71"/>
        <v>1.1249854907259523E-3</v>
      </c>
      <c r="AE27" s="5">
        <f t="shared" si="72"/>
        <v>0.13705218527256152</v>
      </c>
      <c r="AF27" s="5">
        <f t="shared" si="73"/>
        <v>0.10377499848292993</v>
      </c>
      <c r="AG27" s="5">
        <f t="shared" si="74"/>
        <v>2.0948457568566042E-2</v>
      </c>
      <c r="AH27" s="5">
        <f t="shared" si="75"/>
        <v>5.8161399666279436</v>
      </c>
      <c r="AI27" s="5">
        <f t="shared" si="76"/>
        <v>1.1483631302347846E-4</v>
      </c>
      <c r="AJ27" s="5">
        <f t="shared" si="77"/>
        <v>0</v>
      </c>
      <c r="AK27" s="5">
        <f t="shared" si="78"/>
        <v>18</v>
      </c>
      <c r="AL27" s="169">
        <v>0</v>
      </c>
    </row>
    <row r="28" spans="2:38" x14ac:dyDescent="0.2">
      <c r="B28" s="6">
        <f>Additional!J35</f>
        <v>465.49935350380917</v>
      </c>
      <c r="C28" s="4" t="s">
        <v>25</v>
      </c>
      <c r="D28" s="2">
        <v>3139</v>
      </c>
      <c r="E28" s="41">
        <f>D28/D$29*100</f>
        <v>0.89323571007828262</v>
      </c>
      <c r="F28" s="5">
        <f>Additional!J34</f>
        <v>126.79744856411899</v>
      </c>
      <c r="G28" s="21">
        <f t="shared" si="63"/>
        <v>7.044587412392535E-5</v>
      </c>
      <c r="H28" s="21">
        <f t="shared" si="64"/>
        <v>3.2792508861697968E-2</v>
      </c>
      <c r="I28" s="92">
        <f t="shared" si="65"/>
        <v>1.3383472961311935E-2</v>
      </c>
      <c r="J28" s="21">
        <f t="shared" si="66"/>
        <v>2.8750787429831345E-5</v>
      </c>
      <c r="K28" s="10">
        <v>2.8777168878660238</v>
      </c>
      <c r="L28" s="10">
        <v>2.0969010090319682E-2</v>
      </c>
      <c r="M28" s="10">
        <v>1.577718451891672</v>
      </c>
      <c r="N28" s="15">
        <v>3.1194748888537709E-4</v>
      </c>
      <c r="O28" s="15">
        <v>0.46759587910207878</v>
      </c>
      <c r="P28" s="15">
        <v>0.13854621963519606</v>
      </c>
      <c r="Q28" s="16">
        <v>0</v>
      </c>
      <c r="R28" s="15">
        <v>2.9831042204351705</v>
      </c>
      <c r="S28" s="15">
        <v>2.390380807008517E-3</v>
      </c>
      <c r="T28" s="15">
        <v>2.6211756317712659E-4</v>
      </c>
      <c r="U28" s="15">
        <v>12</v>
      </c>
      <c r="V28" s="15">
        <v>0</v>
      </c>
      <c r="X28" s="92">
        <f>I28-V28*Additional!$B$21/B28*I28</f>
        <v>1.3383472961311935E-2</v>
      </c>
      <c r="Y28" s="92">
        <f t="shared" si="67"/>
        <v>1.4542933181141035E-2</v>
      </c>
      <c r="Z28" s="21">
        <f>Y28/(B28-V28*Additional!$B$21)</f>
        <v>3.1241575464448054E-5</v>
      </c>
      <c r="AA28" s="5">
        <f t="shared" si="68"/>
        <v>2.8777168878660238</v>
      </c>
      <c r="AB28" s="5">
        <f t="shared" si="69"/>
        <v>2.0969010090319682E-2</v>
      </c>
      <c r="AC28" s="5">
        <f t="shared" si="70"/>
        <v>1.577718451891672</v>
      </c>
      <c r="AD28" s="5">
        <f t="shared" si="71"/>
        <v>3.1194748888537709E-4</v>
      </c>
      <c r="AE28" s="5">
        <f t="shared" si="72"/>
        <v>0.46759587910207878</v>
      </c>
      <c r="AF28" s="5">
        <f t="shared" si="73"/>
        <v>0.13854621963519606</v>
      </c>
      <c r="AG28" s="5">
        <f t="shared" si="74"/>
        <v>0</v>
      </c>
      <c r="AH28" s="5">
        <f t="shared" si="75"/>
        <v>2.9831042204351705</v>
      </c>
      <c r="AI28" s="5">
        <f t="shared" si="76"/>
        <v>2.390380807008517E-3</v>
      </c>
      <c r="AJ28" s="5">
        <f t="shared" si="77"/>
        <v>2.6211756317712659E-4</v>
      </c>
      <c r="AK28" s="5">
        <f t="shared" si="78"/>
        <v>12</v>
      </c>
      <c r="AL28" s="5">
        <f t="shared" ref="AL28" si="79">V28</f>
        <v>0</v>
      </c>
    </row>
    <row r="29" spans="2:38" x14ac:dyDescent="0.2">
      <c r="C29" s="20" t="s">
        <v>81</v>
      </c>
      <c r="D29" s="2">
        <f>SUM(D24:D28)</f>
        <v>351419</v>
      </c>
      <c r="G29" s="21">
        <f>SUM(G24:G28)</f>
        <v>6.4575884736576983E-3</v>
      </c>
      <c r="H29" s="21">
        <f>SUM(H24:H28)</f>
        <v>2.4502241650199763</v>
      </c>
      <c r="I29" s="92">
        <f>SUM(I24:I28)</f>
        <v>1.0000000000000002</v>
      </c>
      <c r="J29" s="21" t="s">
        <v>39</v>
      </c>
      <c r="K29" s="27">
        <f>SUMPRODUCT($J25:$J28,K25:K28)</f>
        <v>6.6031909448765018E-3</v>
      </c>
      <c r="L29" s="27">
        <f t="shared" ref="L29" si="80">SUMPRODUCT($J25:$J28,L25:L28)</f>
        <v>1.5999834842607338E-6</v>
      </c>
      <c r="M29" s="27">
        <f t="shared" ref="M29" si="81">SUMPRODUCT($J25:$J28,M25:M28)</f>
        <v>1.6031636227567742E-3</v>
      </c>
      <c r="N29" s="27">
        <f t="shared" ref="N29" si="82">SUMPRODUCT($J25:$J28,N25:N28)</f>
        <v>1.4701525561227086E-6</v>
      </c>
      <c r="O29" s="27">
        <f t="shared" ref="O29" si="83">SUMPRODUCT($J25:$J28,O25:O28)</f>
        <v>7.2005539907127249E-4</v>
      </c>
      <c r="P29" s="27">
        <f t="shared" ref="P29" si="84">SUMPRODUCT($J25:$J28,P25:P28)</f>
        <v>7.0652831082188223E-3</v>
      </c>
      <c r="Q29" s="27">
        <f t="shared" ref="Q29" si="85">SUMPRODUCT($J25:$J28,Q25:Q28)</f>
        <v>1.5157705960461365E-5</v>
      </c>
      <c r="R29" s="27">
        <f t="shared" ref="R29" si="86">SUMPRODUCT($J25:$J28,R25:R28)</f>
        <v>1.8428370768312169E-3</v>
      </c>
      <c r="S29" s="27">
        <f t="shared" ref="S29" si="87">SUMPRODUCT($J25:$J28,S25:S28)</f>
        <v>8.9200163541141936E-6</v>
      </c>
      <c r="T29" s="27">
        <f t="shared" ref="T29" si="88">SUMPRODUCT($J25:$J28,T25:T28)</f>
        <v>1.956051153424532E-6</v>
      </c>
      <c r="U29" s="27">
        <f t="shared" ref="U29" si="89">SUMPRODUCT($J25:$J28,U25:U28)</f>
        <v>2.5283454409801828E-2</v>
      </c>
      <c r="V29" s="27">
        <f t="shared" ref="V29" si="90">SUMPRODUCT($J25:$J28,V25:V28)</f>
        <v>4.4255737021310759E-3</v>
      </c>
      <c r="X29" s="92">
        <f>SUM(X25:X28)</f>
        <v>0.92027328975610889</v>
      </c>
      <c r="Y29" s="92">
        <f>SUM(Y25:Y28)</f>
        <v>1</v>
      </c>
      <c r="Z29" s="21" t="s">
        <v>97</v>
      </c>
      <c r="AA29" s="170">
        <f>SUMPRODUCT($Z25:$Z28,AA25:AA28)</f>
        <v>7.1752500245079176E-3</v>
      </c>
      <c r="AB29" s="170">
        <f t="shared" ref="AB29" si="91">SUMPRODUCT($Z25:$Z28,AB25:AB28)</f>
        <v>1.7385960258444116E-6</v>
      </c>
      <c r="AC29" s="170">
        <f t="shared" ref="AC29" si="92">SUMPRODUCT($Z25:$Z28,AC25:AC28)</f>
        <v>1.7420516716090339E-3</v>
      </c>
      <c r="AD29" s="170">
        <f t="shared" ref="AD29" si="93">SUMPRODUCT($Z25:$Z28,AD25:AD28)</f>
        <v>1.5975173597750829E-6</v>
      </c>
      <c r="AE29" s="170">
        <f t="shared" ref="AE29" si="94">SUMPRODUCT($Z25:$Z28,AE25:AE28)</f>
        <v>7.8243648608132684E-4</v>
      </c>
      <c r="AF29" s="170">
        <f t="shared" ref="AF29" si="95">SUMPRODUCT($Z25:$Z28,AF25:AF28)</f>
        <v>7.6773749568362091E-3</v>
      </c>
      <c r="AG29" s="170">
        <f t="shared" ref="AG29" si="96">SUMPRODUCT($Z25:$Z28,AG25:AG28)</f>
        <v>1.6470874607779242E-5</v>
      </c>
      <c r="AH29" s="170">
        <f t="shared" ref="AH29" si="97">SUMPRODUCT($Z25:$Z28,AH25:AH28)</f>
        <v>2.0024889316516033E-3</v>
      </c>
      <c r="AI29" s="170">
        <f t="shared" ref="AI29" si="98">SUMPRODUCT($Z25:$Z28,AI25:AI28)</f>
        <v>9.6927906670834479E-6</v>
      </c>
      <c r="AJ29" s="170">
        <f t="shared" ref="AJ29" si="99">SUMPRODUCT($Z25:$Z28,AJ25:AJ28)</f>
        <v>2.1255111663003116E-6</v>
      </c>
      <c r="AK29" s="170">
        <f t="shared" ref="AK29" si="100">SUMPRODUCT($Z25:$Z28,AK25:AK28)</f>
        <v>2.7473854442197774E-2</v>
      </c>
      <c r="AL29" s="170">
        <f t="shared" ref="AL29" si="101">SUMPRODUCT($Z25:$Z28,AL25:AL28)</f>
        <v>0</v>
      </c>
    </row>
    <row r="30" spans="2:38" x14ac:dyDescent="0.2">
      <c r="I30" s="92"/>
      <c r="K30" s="171">
        <f>SUMPRODUCT($G25:$G28,K25:K28)</f>
        <v>1.6179298019377498E-2</v>
      </c>
      <c r="L30" s="171">
        <f t="shared" ref="L30:V30" si="102">SUMPRODUCT($G25:$G28,L25:L28)</f>
        <v>3.9203181967685095E-6</v>
      </c>
      <c r="M30" s="171">
        <f t="shared" si="102"/>
        <v>3.9281102489596171E-3</v>
      </c>
      <c r="N30" s="171">
        <f t="shared" si="102"/>
        <v>3.6022033192777487E-6</v>
      </c>
      <c r="O30" s="171">
        <f t="shared" si="102"/>
        <v>1.7642971389575347E-3</v>
      </c>
      <c r="P30" s="171">
        <f t="shared" si="102"/>
        <v>1.7311527404465205E-2</v>
      </c>
      <c r="Q30" s="171">
        <f t="shared" si="102"/>
        <v>3.7139777430589765E-5</v>
      </c>
      <c r="R30" s="171">
        <f t="shared" si="102"/>
        <v>4.5153639378466229E-3</v>
      </c>
      <c r="S30" s="171">
        <f t="shared" si="102"/>
        <v>2.1856039623223978E-5</v>
      </c>
      <c r="T30" s="171">
        <f t="shared" si="102"/>
        <v>4.7927638041359849E-6</v>
      </c>
      <c r="U30" s="171">
        <f t="shared" si="102"/>
        <v>6.1950130970077323E-2</v>
      </c>
      <c r="V30" s="171">
        <f t="shared" si="102"/>
        <v>1.0843647629038481E-2</v>
      </c>
      <c r="AL30" s="4"/>
    </row>
    <row r="31" spans="2:38" ht="16" thickBot="1" x14ac:dyDescent="0.25">
      <c r="C31" s="1" t="s">
        <v>20</v>
      </c>
      <c r="D31" s="130" t="s">
        <v>186</v>
      </c>
      <c r="E31" s="41">
        <f>E32-F32/100*E32</f>
        <v>10</v>
      </c>
      <c r="I31" s="92"/>
      <c r="AL31" s="4"/>
    </row>
    <row r="32" spans="2:38" ht="16" thickBot="1" x14ac:dyDescent="0.25">
      <c r="C32" t="s">
        <v>192</v>
      </c>
      <c r="D32" s="2">
        <v>84236</v>
      </c>
      <c r="E32" s="42">
        <f>D32/D$38*100</f>
        <v>25.555488137855715</v>
      </c>
      <c r="F32" s="35">
        <v>60.869461987748707</v>
      </c>
      <c r="G32" s="91" t="s">
        <v>133</v>
      </c>
      <c r="I32" s="92"/>
      <c r="AL32" s="4"/>
    </row>
    <row r="33" spans="1:38" ht="16" x14ac:dyDescent="0.2">
      <c r="B33" s="6">
        <f>B25</f>
        <v>146.51074672509696</v>
      </c>
      <c r="C33" s="4" t="s">
        <v>1</v>
      </c>
      <c r="D33" s="2">
        <v>80</v>
      </c>
      <c r="E33" s="41">
        <f>D33/D$38*100+F32/100*E32</f>
        <v>15.579758509799165</v>
      </c>
      <c r="F33" s="5">
        <f>F25</f>
        <v>44.031022001057181</v>
      </c>
      <c r="G33" s="21">
        <f>1/F33*E33/100</f>
        <v>3.5383595024038044E-3</v>
      </c>
      <c r="H33" s="21">
        <f>G33*B33</f>
        <v>0.51840769287902388</v>
      </c>
      <c r="I33" s="92">
        <f>1/H$38*H33</f>
        <v>0.20115235232657977</v>
      </c>
      <c r="J33" s="21">
        <f>I33/B33</f>
        <v>1.3729528845007437E-3</v>
      </c>
      <c r="K33" s="9">
        <v>1.0029428881067164</v>
      </c>
      <c r="L33" s="9">
        <v>1.6304601979700461E-4</v>
      </c>
      <c r="M33" s="9">
        <v>1.2539946357386646E-3</v>
      </c>
      <c r="N33" s="14">
        <v>3.0515208346036465E-4</v>
      </c>
      <c r="O33" s="14">
        <v>0.1839475062987895</v>
      </c>
      <c r="P33" s="14">
        <v>1.8003672628055496</v>
      </c>
      <c r="Q33" s="14">
        <v>3.1198940297381189E-3</v>
      </c>
      <c r="R33" s="14">
        <v>1.9744983180175874E-3</v>
      </c>
      <c r="S33" s="14">
        <v>2.1834784079094926E-4</v>
      </c>
      <c r="T33" s="14">
        <v>9.1087060678894977E-5</v>
      </c>
      <c r="U33" s="14">
        <v>4</v>
      </c>
      <c r="V33" s="14">
        <v>0</v>
      </c>
      <c r="X33" s="92">
        <f>I33-V33*Additional!$B$21/B33*I33</f>
        <v>0.20115235232657977</v>
      </c>
      <c r="Y33" s="92">
        <f>1/X$38*X33</f>
        <v>0.21730693683188496</v>
      </c>
      <c r="Z33" s="21">
        <f>Y33/(B33-V33*Additional!$B$21)</f>
        <v>1.4832149974610754E-3</v>
      </c>
      <c r="AA33" s="5">
        <f>K33</f>
        <v>1.0029428881067164</v>
      </c>
      <c r="AB33" s="5">
        <f t="shared" ref="AB33:AL33" si="103">L33</f>
        <v>1.6304601979700461E-4</v>
      </c>
      <c r="AC33" s="5">
        <f t="shared" si="103"/>
        <v>1.2539946357386646E-3</v>
      </c>
      <c r="AD33" s="5">
        <f t="shared" si="103"/>
        <v>3.0515208346036465E-4</v>
      </c>
      <c r="AE33" s="5">
        <f t="shared" si="103"/>
        <v>0.1839475062987895</v>
      </c>
      <c r="AF33" s="5">
        <f t="shared" si="103"/>
        <v>1.8003672628055496</v>
      </c>
      <c r="AG33" s="5">
        <f t="shared" si="103"/>
        <v>3.1198940297381189E-3</v>
      </c>
      <c r="AH33" s="5">
        <f t="shared" si="103"/>
        <v>1.9744983180175874E-3</v>
      </c>
      <c r="AI33" s="5">
        <f t="shared" si="103"/>
        <v>2.1834784079094926E-4</v>
      </c>
      <c r="AJ33" s="5">
        <f t="shared" si="103"/>
        <v>9.1087060678894977E-5</v>
      </c>
      <c r="AK33" s="5">
        <f t="shared" si="103"/>
        <v>4</v>
      </c>
      <c r="AL33" s="5">
        <f t="shared" si="103"/>
        <v>0</v>
      </c>
    </row>
    <row r="34" spans="1:38" ht="16" x14ac:dyDescent="0.2">
      <c r="B34" s="6">
        <f>B26</f>
        <v>566.6210544465514</v>
      </c>
      <c r="C34" s="4" t="s">
        <v>8</v>
      </c>
      <c r="D34" s="2">
        <f>171525+2015</f>
        <v>173540</v>
      </c>
      <c r="E34" s="41">
        <f>D34/D$38*100</f>
        <v>52.648504338328983</v>
      </c>
      <c r="F34" s="5">
        <f>F26</f>
        <v>207.63645266510497</v>
      </c>
      <c r="G34" s="21">
        <f>1/F34*E34/100</f>
        <v>2.5356098923171888E-3</v>
      </c>
      <c r="H34" s="21">
        <f>G34*B34</f>
        <v>1.4367299508498721</v>
      </c>
      <c r="I34" s="92">
        <f t="shared" ref="I34:I37" si="104">1/H$38*H34</f>
        <v>0.55747939940186186</v>
      </c>
      <c r="J34" s="21">
        <f t="shared" ref="J34:J37" si="105">I34/B34</f>
        <v>9.8386636893749266E-4</v>
      </c>
      <c r="K34" s="9">
        <v>3.3606781093794176</v>
      </c>
      <c r="L34" s="9">
        <v>5.4491832816238532E-4</v>
      </c>
      <c r="M34" s="9">
        <v>1.4937835326301225</v>
      </c>
      <c r="N34" s="14">
        <v>7.1230376114233694E-4</v>
      </c>
      <c r="O34" s="14">
        <v>0.4177578111119522</v>
      </c>
      <c r="P34" s="14">
        <v>4.5894383963397667</v>
      </c>
      <c r="Q34" s="14">
        <v>4.7489029251805296E-3</v>
      </c>
      <c r="R34" s="14">
        <v>1.0651103760304457E-2</v>
      </c>
      <c r="S34" s="14">
        <v>8.2780265179108799E-3</v>
      </c>
      <c r="T34" s="14">
        <v>1.7764640895874713E-3</v>
      </c>
      <c r="U34" s="14">
        <v>14</v>
      </c>
      <c r="V34" s="14">
        <v>4</v>
      </c>
      <c r="X34" s="92">
        <f>I34-V34*Additional!$B$21/B34*I34</f>
        <v>0.48658198885622617</v>
      </c>
      <c r="Y34" s="92">
        <f t="shared" ref="Y34:Y37" si="106">1/X$38*X34</f>
        <v>0.52565948293879827</v>
      </c>
      <c r="Z34" s="21">
        <f>Y34/(B34-V34*Additional!$B$21)</f>
        <v>1.0628808682217167E-3</v>
      </c>
      <c r="AA34" s="5">
        <f t="shared" ref="AA34:AA37" si="107">K34</f>
        <v>3.3606781093794176</v>
      </c>
      <c r="AB34" s="5">
        <f t="shared" ref="AB34:AB37" si="108">L34</f>
        <v>5.4491832816238532E-4</v>
      </c>
      <c r="AC34" s="5">
        <f t="shared" ref="AC34:AC37" si="109">M34</f>
        <v>1.4937835326301225</v>
      </c>
      <c r="AD34" s="5">
        <f t="shared" ref="AD34:AD37" si="110">N34</f>
        <v>7.1230376114233694E-4</v>
      </c>
      <c r="AE34" s="5">
        <f t="shared" ref="AE34:AE37" si="111">O34</f>
        <v>0.4177578111119522</v>
      </c>
      <c r="AF34" s="5">
        <f t="shared" ref="AF34:AF37" si="112">P34</f>
        <v>4.5894383963397667</v>
      </c>
      <c r="AG34" s="5">
        <f t="shared" ref="AG34:AG37" si="113">Q34</f>
        <v>4.7489029251805296E-3</v>
      </c>
      <c r="AH34" s="5">
        <f t="shared" ref="AH34:AH37" si="114">R34</f>
        <v>1.0651103760304457E-2</v>
      </c>
      <c r="AI34" s="5">
        <f t="shared" ref="AI34:AI37" si="115">S34</f>
        <v>8.2780265179108799E-3</v>
      </c>
      <c r="AJ34" s="5">
        <f t="shared" ref="AJ34:AJ37" si="116">T34</f>
        <v>1.7764640895874713E-3</v>
      </c>
      <c r="AK34" s="5">
        <f t="shared" ref="AK34:AK37" si="117">U34</f>
        <v>14</v>
      </c>
      <c r="AL34" s="169">
        <v>0</v>
      </c>
    </row>
    <row r="35" spans="1:38" x14ac:dyDescent="0.2">
      <c r="B35" s="6">
        <f>B27</f>
        <v>718.18332223627351</v>
      </c>
      <c r="C35" s="4" t="s">
        <v>12</v>
      </c>
      <c r="D35" s="2">
        <f>30749+10954</f>
        <v>41703</v>
      </c>
      <c r="E35" s="41">
        <f>D35/D$38*100</f>
        <v>12.65184151447121</v>
      </c>
      <c r="F35" s="5">
        <f>F27</f>
        <v>256.89999999999998</v>
      </c>
      <c r="G35" s="21">
        <f t="shared" ref="G35:G37" si="118">1/F35*E35/100</f>
        <v>4.9248118001055715E-4</v>
      </c>
      <c r="H35" s="21">
        <f t="shared" ref="H35:H37" si="119">G35*B35</f>
        <v>0.35369176999882218</v>
      </c>
      <c r="I35" s="92">
        <f t="shared" si="104"/>
        <v>0.13723934368855398</v>
      </c>
      <c r="J35" s="21">
        <f t="shared" si="105"/>
        <v>1.9109235683894635E-4</v>
      </c>
      <c r="K35" s="10">
        <v>5.9203476522176262</v>
      </c>
      <c r="L35" s="10">
        <v>7.5749679064305794E-4</v>
      </c>
      <c r="M35" s="10">
        <v>5.151439626770328E-2</v>
      </c>
      <c r="N35" s="15">
        <v>1.1249854907259523E-3</v>
      </c>
      <c r="O35" s="15">
        <v>0.13705218527256152</v>
      </c>
      <c r="P35" s="15">
        <v>0.10377499848292993</v>
      </c>
      <c r="Q35" s="15">
        <v>2.0948457568566042E-2</v>
      </c>
      <c r="R35" s="15">
        <v>5.8161399666279436</v>
      </c>
      <c r="S35" s="15">
        <v>1.1483631302347846E-4</v>
      </c>
      <c r="T35" s="15">
        <v>0</v>
      </c>
      <c r="U35" s="15">
        <v>18</v>
      </c>
      <c r="V35" s="15">
        <v>1</v>
      </c>
      <c r="X35" s="92">
        <f>I35-V35*Additional!$B$21/B35*I35</f>
        <v>0.13379681488010037</v>
      </c>
      <c r="Y35" s="92">
        <f t="shared" si="106"/>
        <v>0.14454206308387019</v>
      </c>
      <c r="Z35" s="21">
        <f>Y35/(B35-V35*Additional!$B$21)</f>
        <v>2.0643902115167974E-4</v>
      </c>
      <c r="AA35" s="5">
        <f t="shared" si="107"/>
        <v>5.9203476522176262</v>
      </c>
      <c r="AB35" s="5">
        <f t="shared" si="108"/>
        <v>7.5749679064305794E-4</v>
      </c>
      <c r="AC35" s="5">
        <f t="shared" si="109"/>
        <v>5.151439626770328E-2</v>
      </c>
      <c r="AD35" s="5">
        <f t="shared" si="110"/>
        <v>1.1249854907259523E-3</v>
      </c>
      <c r="AE35" s="5">
        <f t="shared" si="111"/>
        <v>0.13705218527256152</v>
      </c>
      <c r="AF35" s="5">
        <f t="shared" si="112"/>
        <v>0.10377499848292993</v>
      </c>
      <c r="AG35" s="5">
        <f t="shared" si="113"/>
        <v>2.0948457568566042E-2</v>
      </c>
      <c r="AH35" s="5">
        <f t="shared" si="114"/>
        <v>5.8161399666279436</v>
      </c>
      <c r="AI35" s="5">
        <f t="shared" si="115"/>
        <v>1.1483631302347846E-4</v>
      </c>
      <c r="AJ35" s="5">
        <f t="shared" si="116"/>
        <v>0</v>
      </c>
      <c r="AK35" s="5">
        <f t="shared" si="117"/>
        <v>18</v>
      </c>
      <c r="AL35" s="169">
        <v>0</v>
      </c>
    </row>
    <row r="36" spans="1:38" ht="16" x14ac:dyDescent="0.2">
      <c r="B36" s="6">
        <f>Additional!E35</f>
        <v>278.39399295087247</v>
      </c>
      <c r="C36" s="4" t="s">
        <v>14</v>
      </c>
      <c r="D36" s="2">
        <v>24112</v>
      </c>
      <c r="E36" s="41">
        <f>D36/D$38*100</f>
        <v>7.3150901037558409</v>
      </c>
      <c r="F36" s="5">
        <f>Additional!E34</f>
        <v>100.76491878386271</v>
      </c>
      <c r="G36" s="21">
        <f t="shared" si="118"/>
        <v>7.259560362914059E-4</v>
      </c>
      <c r="H36" s="21">
        <f t="shared" si="119"/>
        <v>0.20210179964995298</v>
      </c>
      <c r="I36" s="92">
        <f t="shared" si="104"/>
        <v>7.8419462070965174E-2</v>
      </c>
      <c r="J36" s="21">
        <f t="shared" si="105"/>
        <v>2.8168518020000406E-4</v>
      </c>
      <c r="K36" s="9">
        <v>2.0303913002252316</v>
      </c>
      <c r="L36" s="9">
        <v>8.619462729185037E-4</v>
      </c>
      <c r="M36" s="9">
        <v>1.9579749722897986</v>
      </c>
      <c r="N36" s="14">
        <v>2.875547786863072E-4</v>
      </c>
      <c r="O36" s="14">
        <v>2.3313699335817482E-2</v>
      </c>
      <c r="P36" s="14">
        <v>5.7104169811438496E-3</v>
      </c>
      <c r="Q36" s="14">
        <v>6.1513847684319161E-5</v>
      </c>
      <c r="R36" s="14">
        <v>0.94722805127564647</v>
      </c>
      <c r="S36" s="14">
        <v>4.6138599386734765E-2</v>
      </c>
      <c r="T36" s="14">
        <v>6.7290074492775635E-4</v>
      </c>
      <c r="U36" s="14">
        <v>8</v>
      </c>
      <c r="V36" s="14">
        <v>0</v>
      </c>
      <c r="X36" s="92">
        <f>I36-V36*Additional!$B$21/B36*I36</f>
        <v>7.8419462070965174E-2</v>
      </c>
      <c r="Y36" s="92">
        <f t="shared" si="106"/>
        <v>8.4717344309146611E-2</v>
      </c>
      <c r="Z36" s="21">
        <f>Y36/(B36-V36*Additional!$B$21)</f>
        <v>3.0430737176177677E-4</v>
      </c>
      <c r="AA36" s="5">
        <f t="shared" si="107"/>
        <v>2.0303913002252316</v>
      </c>
      <c r="AB36" s="5">
        <f t="shared" si="108"/>
        <v>8.619462729185037E-4</v>
      </c>
      <c r="AC36" s="5">
        <f t="shared" si="109"/>
        <v>1.9579749722897986</v>
      </c>
      <c r="AD36" s="5">
        <f t="shared" si="110"/>
        <v>2.875547786863072E-4</v>
      </c>
      <c r="AE36" s="5">
        <f t="shared" si="111"/>
        <v>2.3313699335817482E-2</v>
      </c>
      <c r="AF36" s="5">
        <f t="shared" si="112"/>
        <v>5.7104169811438496E-3</v>
      </c>
      <c r="AG36" s="5">
        <f t="shared" si="113"/>
        <v>6.1513847684319161E-5</v>
      </c>
      <c r="AH36" s="5">
        <f t="shared" si="114"/>
        <v>0.94722805127564647</v>
      </c>
      <c r="AI36" s="5">
        <f t="shared" si="115"/>
        <v>4.6138599386734765E-2</v>
      </c>
      <c r="AJ36" s="5">
        <f t="shared" si="116"/>
        <v>6.7290074492775635E-4</v>
      </c>
      <c r="AK36" s="5">
        <f t="shared" si="117"/>
        <v>8</v>
      </c>
      <c r="AL36" s="5">
        <f t="shared" ref="AL36:AL37" si="120">V36</f>
        <v>0</v>
      </c>
    </row>
    <row r="37" spans="1:38" x14ac:dyDescent="0.2">
      <c r="B37" s="6">
        <f>B28</f>
        <v>465.49935350380917</v>
      </c>
      <c r="C37" s="4" t="s">
        <v>25</v>
      </c>
      <c r="D37" s="2">
        <v>5949</v>
      </c>
      <c r="E37" s="41">
        <f>D37/D$38*100</f>
        <v>1.804805533644803</v>
      </c>
      <c r="F37" s="5">
        <f>F28</f>
        <v>126.79744856411899</v>
      </c>
      <c r="G37" s="21">
        <f t="shared" si="118"/>
        <v>1.4233768534641675E-4</v>
      </c>
      <c r="H37" s="21">
        <f t="shared" si="119"/>
        <v>6.6258100507985612E-2</v>
      </c>
      <c r="I37" s="92">
        <f t="shared" si="104"/>
        <v>2.5709442512039427E-2</v>
      </c>
      <c r="J37" s="21">
        <f t="shared" si="105"/>
        <v>5.5229813572295425E-5</v>
      </c>
      <c r="K37" s="10">
        <v>2.8777168878660238</v>
      </c>
      <c r="L37" s="10">
        <v>2.0969010090319682E-2</v>
      </c>
      <c r="M37" s="10">
        <v>1.577718451891672</v>
      </c>
      <c r="N37" s="15">
        <v>3.1194748888537709E-4</v>
      </c>
      <c r="O37" s="15">
        <v>0.46759587910207878</v>
      </c>
      <c r="P37" s="15">
        <v>0.13854621963519606</v>
      </c>
      <c r="Q37" s="16">
        <v>0</v>
      </c>
      <c r="R37" s="15">
        <v>2.9831042204351705</v>
      </c>
      <c r="S37" s="15">
        <v>2.390380807008517E-3</v>
      </c>
      <c r="T37" s="15">
        <v>2.6211756317712659E-4</v>
      </c>
      <c r="U37" s="15">
        <v>12</v>
      </c>
      <c r="V37" s="15">
        <v>0</v>
      </c>
      <c r="X37" s="92">
        <f>I37-V37*Additional!$B$21/B37*I37</f>
        <v>2.5709442512039427E-2</v>
      </c>
      <c r="Y37" s="92">
        <f t="shared" si="106"/>
        <v>2.7774172836299953E-2</v>
      </c>
      <c r="Z37" s="21">
        <f>Y37/(B37-V37*Additional!$B$21)</f>
        <v>5.9665330633101896E-5</v>
      </c>
      <c r="AA37" s="5">
        <f t="shared" si="107"/>
        <v>2.8777168878660238</v>
      </c>
      <c r="AB37" s="5">
        <f t="shared" si="108"/>
        <v>2.0969010090319682E-2</v>
      </c>
      <c r="AC37" s="5">
        <f t="shared" si="109"/>
        <v>1.577718451891672</v>
      </c>
      <c r="AD37" s="5">
        <f t="shared" si="110"/>
        <v>3.1194748888537709E-4</v>
      </c>
      <c r="AE37" s="5">
        <f t="shared" si="111"/>
        <v>0.46759587910207878</v>
      </c>
      <c r="AF37" s="5">
        <f t="shared" si="112"/>
        <v>0.13854621963519606</v>
      </c>
      <c r="AG37" s="5">
        <f t="shared" si="113"/>
        <v>0</v>
      </c>
      <c r="AH37" s="5">
        <f t="shared" si="114"/>
        <v>2.9831042204351705</v>
      </c>
      <c r="AI37" s="5">
        <f t="shared" si="115"/>
        <v>2.390380807008517E-3</v>
      </c>
      <c r="AJ37" s="5">
        <f t="shared" si="116"/>
        <v>2.6211756317712659E-4</v>
      </c>
      <c r="AK37" s="5">
        <f t="shared" si="117"/>
        <v>12</v>
      </c>
      <c r="AL37" s="5">
        <f t="shared" si="120"/>
        <v>0</v>
      </c>
    </row>
    <row r="38" spans="1:38" ht="16.5" customHeight="1" x14ac:dyDescent="0.2">
      <c r="B38" s="65"/>
      <c r="C38" s="89" t="s">
        <v>81</v>
      </c>
      <c r="D38" s="58">
        <f>SUM(D32:D37)</f>
        <v>329620</v>
      </c>
      <c r="E38" s="58"/>
      <c r="F38" s="58"/>
      <c r="G38" s="60">
        <f>SUM(G33:G37)</f>
        <v>7.4347442963693727E-3</v>
      </c>
      <c r="H38" s="60">
        <f>SUM(H33:H37)</f>
        <v>2.5771893138856563</v>
      </c>
      <c r="I38" s="93">
        <f>SUM(I33:I37)</f>
        <v>1.0000000000000002</v>
      </c>
      <c r="J38" s="60" t="s">
        <v>39</v>
      </c>
      <c r="K38" s="61">
        <f>SUMPRODUCT($J33:$J37,K33:K37)</f>
        <v>6.5456515925378092E-3</v>
      </c>
      <c r="L38" s="61">
        <f t="shared" ref="L38:V38" si="121">SUMPRODUCT($J33:$J37,L33:L37)</f>
        <v>2.3056451763989059E-6</v>
      </c>
      <c r="M38" s="61">
        <f t="shared" si="121"/>
        <v>2.1199186920377333E-3</v>
      </c>
      <c r="N38" s="61">
        <f t="shared" si="121"/>
        <v>1.4329759983935E-6</v>
      </c>
      <c r="O38" s="61">
        <f t="shared" si="121"/>
        <v>7.2215110200581469E-4</v>
      </c>
      <c r="P38" s="61">
        <f t="shared" si="121"/>
        <v>7.0163045478577124E-3</v>
      </c>
      <c r="Q38" s="61">
        <f t="shared" si="121"/>
        <v>1.2976171053087306E-5</v>
      </c>
      <c r="R38" s="61">
        <f t="shared" si="121"/>
        <v>1.556186444146557E-3</v>
      </c>
      <c r="S38" s="61">
        <f t="shared" si="121"/>
        <v>2.1594777500456101E-5</v>
      </c>
      <c r="T38" s="61">
        <f t="shared" si="121"/>
        <v>2.0768843878100462E-6</v>
      </c>
      <c r="U38" s="61">
        <f t="shared" si="121"/>
        <v>2.5621842330696483E-2</v>
      </c>
      <c r="V38" s="61">
        <f t="shared" si="121"/>
        <v>4.1265578325889174E-3</v>
      </c>
      <c r="X38" s="92">
        <f>SUM(X33:X37)</f>
        <v>0.925660060645911</v>
      </c>
      <c r="Y38" s="92">
        <f>SUM(Y33:Y37)</f>
        <v>0.99999999999999989</v>
      </c>
      <c r="Z38" s="21" t="s">
        <v>97</v>
      </c>
      <c r="AA38" s="170">
        <f>SUMPRODUCT($Z33:$Z37,AA33:AA37)</f>
        <v>7.0713341439516755E-3</v>
      </c>
      <c r="AB38" s="170">
        <f t="shared" ref="AB38:AL38" si="122">SUMPRODUCT($Z33:$Z37,AB33:AB37)</f>
        <v>2.4908119885717695E-6</v>
      </c>
      <c r="AC38" s="170">
        <f t="shared" si="122"/>
        <v>2.2901697741593043E-3</v>
      </c>
      <c r="AD38" s="170">
        <f t="shared" si="122"/>
        <v>1.5480585792948571E-6</v>
      </c>
      <c r="AE38" s="170">
        <f t="shared" si="122"/>
        <v>7.8014719734360069E-4</v>
      </c>
      <c r="AF38" s="170">
        <f t="shared" si="122"/>
        <v>7.5797853295753595E-3</v>
      </c>
      <c r="AG38" s="170">
        <f t="shared" si="122"/>
        <v>1.401828987202142E-5</v>
      </c>
      <c r="AH38" s="170">
        <f t="shared" si="122"/>
        <v>1.6811640798898408E-3</v>
      </c>
      <c r="AI38" s="170">
        <f t="shared" si="122"/>
        <v>2.3329058278033088E-5</v>
      </c>
      <c r="AJ38" s="170">
        <f t="shared" si="122"/>
        <v>2.2436793765962307E-6</v>
      </c>
      <c r="AK38" s="170">
        <f t="shared" si="122"/>
        <v>2.7679537467370008E-2</v>
      </c>
      <c r="AL38" s="170">
        <f t="shared" si="122"/>
        <v>0</v>
      </c>
    </row>
    <row r="39" spans="1:38" ht="16.5" customHeight="1" x14ac:dyDescent="0.2">
      <c r="B39" s="46"/>
      <c r="C39" s="117"/>
      <c r="D39" s="45"/>
      <c r="E39" s="45"/>
      <c r="F39" s="45"/>
      <c r="G39" s="113"/>
      <c r="H39" s="113"/>
      <c r="I39" s="114"/>
      <c r="J39" s="113"/>
      <c r="K39" s="171">
        <f>SUMPRODUCT($G33:$G37,K33:K37)</f>
        <v>1.686938333670707E-2</v>
      </c>
      <c r="L39" s="171">
        <f t="shared" ref="L39:V39" si="123">SUMPRODUCT($G33:$G37,L33:L37)</f>
        <v>5.9420841102272687E-6</v>
      </c>
      <c r="M39" s="171">
        <f t="shared" si="123"/>
        <v>5.4634317994261047E-3</v>
      </c>
      <c r="N39" s="171">
        <f t="shared" si="123"/>
        <v>3.6930504301143582E-6</v>
      </c>
      <c r="O39" s="171">
        <f t="shared" si="123"/>
        <v>1.8611201031001358E-3</v>
      </c>
      <c r="P39" s="171">
        <f t="shared" si="123"/>
        <v>1.8082345103706231E-2</v>
      </c>
      <c r="Q39" s="171">
        <f t="shared" si="123"/>
        <v>3.3442049373168988E-5</v>
      </c>
      <c r="R39" s="171">
        <f t="shared" si="123"/>
        <v>4.0105870742682247E-3</v>
      </c>
      <c r="S39" s="171">
        <f t="shared" si="123"/>
        <v>5.5653829809913861E-5</v>
      </c>
      <c r="T39" s="171">
        <f t="shared" si="123"/>
        <v>5.3525242504400036E-6</v>
      </c>
      <c r="U39" s="171">
        <f t="shared" si="123"/>
        <v>6.603233825673413E-2</v>
      </c>
      <c r="V39" s="171">
        <f t="shared" si="123"/>
        <v>1.0634920749279311E-2</v>
      </c>
      <c r="X39" s="92"/>
      <c r="Y39" s="92"/>
      <c r="Z39" s="21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25"/>
    </row>
    <row r="40" spans="1:38" x14ac:dyDescent="0.2">
      <c r="B40" s="46"/>
      <c r="C40" s="116" t="s">
        <v>147</v>
      </c>
      <c r="D40" s="45"/>
      <c r="E40" s="45"/>
      <c r="F40" s="45"/>
      <c r="G40" s="113"/>
      <c r="H40" s="113"/>
      <c r="I40" s="114"/>
      <c r="J40" s="113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X40" s="92"/>
      <c r="Y40" s="92"/>
      <c r="Z40" s="21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25"/>
    </row>
    <row r="41" spans="1:38" x14ac:dyDescent="0.2">
      <c r="A41" s="119">
        <v>3.8932641740236424</v>
      </c>
      <c r="B41" s="6">
        <f>B33</f>
        <v>146.51074672509696</v>
      </c>
      <c r="C41" s="29" t="s">
        <v>1</v>
      </c>
      <c r="D41" s="5">
        <f>A41/A43*100</f>
        <v>74.417131979238505</v>
      </c>
      <c r="E41" s="41">
        <f>D41/SUM(D41:D43)*100</f>
        <v>57.243947676337314</v>
      </c>
      <c r="F41" s="11">
        <f>F33</f>
        <v>44.031022001057181</v>
      </c>
      <c r="G41" s="21">
        <f>1/F41*E41/100</f>
        <v>1.3000821937533699E-2</v>
      </c>
      <c r="H41" s="21">
        <f>G41*B41</f>
        <v>1.9047601301080841</v>
      </c>
      <c r="I41" s="92">
        <f>1/H$43*H41</f>
        <v>0.77794324021115691</v>
      </c>
      <c r="J41" s="21">
        <f>I41/B41</f>
        <v>5.3098032574418448E-3</v>
      </c>
      <c r="K41" s="23">
        <v>0.99857026424627104</v>
      </c>
      <c r="L41" s="23">
        <v>1.0990369323650568E-4</v>
      </c>
      <c r="M41" s="23">
        <v>4.878582991249243E-4</v>
      </c>
      <c r="N41" s="23">
        <v>2.6337639207643773E-4</v>
      </c>
      <c r="O41" s="23">
        <v>0.18080795473308686</v>
      </c>
      <c r="P41" s="23">
        <v>1.8155169739887416</v>
      </c>
      <c r="Q41" s="23">
        <v>3.096351427492748E-3</v>
      </c>
      <c r="R41" s="23">
        <v>1.8497795635051531E-3</v>
      </c>
      <c r="S41" s="23">
        <v>3.903047748392106E-4</v>
      </c>
      <c r="T41" s="23">
        <v>9.3199967874282619E-5</v>
      </c>
      <c r="U41" s="23">
        <v>4</v>
      </c>
      <c r="V41" s="25">
        <v>0</v>
      </c>
      <c r="X41" s="92">
        <f>I41-V41*Additional!$B$21/B41*I41</f>
        <v>0.77794324021115691</v>
      </c>
      <c r="Y41" s="92">
        <f>1/X$43*X41</f>
        <v>0.77794324021115691</v>
      </c>
      <c r="Z41" s="21">
        <f>Y41/(B41-V41*Additional!$B$21)</f>
        <v>5.3098032574418448E-3</v>
      </c>
      <c r="AA41" s="5">
        <f t="shared" ref="AA41:AL42" si="124">K41</f>
        <v>0.99857026424627104</v>
      </c>
      <c r="AB41" s="5">
        <f t="shared" si="124"/>
        <v>1.0990369323650568E-4</v>
      </c>
      <c r="AC41" s="5">
        <f t="shared" si="124"/>
        <v>4.878582991249243E-4</v>
      </c>
      <c r="AD41" s="5">
        <f t="shared" si="124"/>
        <v>2.6337639207643773E-4</v>
      </c>
      <c r="AE41" s="5">
        <f t="shared" si="124"/>
        <v>0.18080795473308686</v>
      </c>
      <c r="AF41" s="5">
        <f t="shared" si="124"/>
        <v>1.8155169739887416</v>
      </c>
      <c r="AG41" s="5">
        <f t="shared" si="124"/>
        <v>3.096351427492748E-3</v>
      </c>
      <c r="AH41" s="5">
        <f t="shared" si="124"/>
        <v>1.8497795635051531E-3</v>
      </c>
      <c r="AI41" s="5">
        <f t="shared" si="124"/>
        <v>3.903047748392106E-4</v>
      </c>
      <c r="AJ41" s="5">
        <f t="shared" si="124"/>
        <v>9.3199967874282619E-5</v>
      </c>
      <c r="AK41" s="5">
        <f t="shared" si="124"/>
        <v>4</v>
      </c>
      <c r="AL41" s="5">
        <f t="shared" si="124"/>
        <v>0</v>
      </c>
    </row>
    <row r="42" spans="1:38" x14ac:dyDescent="0.2">
      <c r="A42" s="119">
        <v>1.3384130896336257</v>
      </c>
      <c r="B42" s="6">
        <f>B36</f>
        <v>278.39399295087247</v>
      </c>
      <c r="C42" s="29" t="s">
        <v>14</v>
      </c>
      <c r="D42" s="5">
        <f>A42/A43*100</f>
        <v>25.582868020761506</v>
      </c>
      <c r="E42" s="41">
        <f>D42/SUM(D41:D43)*100</f>
        <v>19.67912924673962</v>
      </c>
      <c r="F42" s="102">
        <f>F36</f>
        <v>100.76491878386271</v>
      </c>
      <c r="G42" s="21">
        <f t="shared" ref="G42" si="125">1/F42*E42/100</f>
        <v>1.9529742577325624E-3</v>
      </c>
      <c r="H42" s="21">
        <f t="shared" ref="H42" si="126">G42*B42</f>
        <v>0.54369630174043437</v>
      </c>
      <c r="I42" s="92">
        <f>1/H$43*H42</f>
        <v>0.22205675978884309</v>
      </c>
      <c r="J42" s="21">
        <f>I42/B42</f>
        <v>7.9763488225850093E-4</v>
      </c>
      <c r="K42" s="23">
        <v>1.9610798146953501</v>
      </c>
      <c r="L42" s="23">
        <v>1.43944958267027E-4</v>
      </c>
      <c r="M42" s="23">
        <v>2.0630703322935222</v>
      </c>
      <c r="N42" s="23">
        <v>1.1622088321737301E-4</v>
      </c>
      <c r="O42" s="23">
        <v>2.350491080704023E-2</v>
      </c>
      <c r="P42" s="23">
        <v>5.2505213464297115E-3</v>
      </c>
      <c r="Q42" s="23">
        <v>9.9974249442511182E-4</v>
      </c>
      <c r="R42" s="23">
        <v>0.93247861549666011</v>
      </c>
      <c r="S42" s="23">
        <v>4.0340863341323571E-2</v>
      </c>
      <c r="T42" s="23">
        <v>7.3685822486169021E-4</v>
      </c>
      <c r="U42" s="23">
        <v>8</v>
      </c>
      <c r="V42" s="25">
        <v>0</v>
      </c>
      <c r="X42" s="92">
        <f>I42-V42*Additional!$B$21/B42*I42</f>
        <v>0.22205675978884309</v>
      </c>
      <c r="Y42" s="92">
        <f>1/X$43*X42</f>
        <v>0.22205675978884309</v>
      </c>
      <c r="Z42" s="21">
        <f>Y42/(B42-V42*Additional!$B$21)</f>
        <v>7.9763488225850093E-4</v>
      </c>
      <c r="AA42" s="5">
        <v>2</v>
      </c>
      <c r="AB42" s="5">
        <f t="shared" si="124"/>
        <v>1.43944958267027E-4</v>
      </c>
      <c r="AC42" s="5">
        <f t="shared" si="124"/>
        <v>2.0630703322935222</v>
      </c>
      <c r="AD42" s="5">
        <f t="shared" si="124"/>
        <v>1.1622088321737301E-4</v>
      </c>
      <c r="AE42" s="5">
        <f t="shared" si="124"/>
        <v>2.350491080704023E-2</v>
      </c>
      <c r="AF42" s="5">
        <f t="shared" si="124"/>
        <v>5.2505213464297115E-3</v>
      </c>
      <c r="AG42" s="5">
        <f t="shared" si="124"/>
        <v>9.9974249442511182E-4</v>
      </c>
      <c r="AH42" s="5">
        <f t="shared" si="124"/>
        <v>0.93247861549666011</v>
      </c>
      <c r="AI42" s="5">
        <f t="shared" si="124"/>
        <v>4.0340863341323571E-2</v>
      </c>
      <c r="AJ42" s="5">
        <f t="shared" si="124"/>
        <v>7.3685822486169021E-4</v>
      </c>
      <c r="AK42" s="5">
        <f t="shared" si="124"/>
        <v>8</v>
      </c>
      <c r="AL42" s="5">
        <f t="shared" si="124"/>
        <v>0</v>
      </c>
    </row>
    <row r="43" spans="1:38" x14ac:dyDescent="0.2">
      <c r="A43" s="119">
        <f>A42+A41</f>
        <v>5.2316772636572679</v>
      </c>
      <c r="B43" s="123"/>
      <c r="C43" s="56" t="s">
        <v>192</v>
      </c>
      <c r="D43" s="66">
        <v>30</v>
      </c>
      <c r="E43" s="124">
        <f>D43/SUM(D41:D43)*100</f>
        <v>23.076923076923077</v>
      </c>
      <c r="F43" s="58"/>
      <c r="G43" s="58"/>
      <c r="H43" s="60">
        <f>H42+H41</f>
        <v>2.4484564318485185</v>
      </c>
      <c r="I43" s="93">
        <f>I42+I41</f>
        <v>1</v>
      </c>
      <c r="J43" s="58" t="s">
        <v>39</v>
      </c>
      <c r="K43" s="125">
        <f t="shared" ref="K43:V43" si="127">SUMPRODUCT($J41:$J42,K41:K42)</f>
        <v>6.8664373089734618E-3</v>
      </c>
      <c r="L43" s="125">
        <f t="shared" si="127"/>
        <v>6.9838250819111205E-7</v>
      </c>
      <c r="M43" s="125">
        <f t="shared" si="127"/>
        <v>1.6481672931758136E-3</v>
      </c>
      <c r="N43" s="125">
        <f t="shared" si="127"/>
        <v>1.4911786550818179E-6</v>
      </c>
      <c r="O43" s="125">
        <f t="shared" si="127"/>
        <v>9.7880300377721236E-4</v>
      </c>
      <c r="P43" s="125">
        <f t="shared" si="127"/>
        <v>9.6442259414023356E-3</v>
      </c>
      <c r="Q43" s="125">
        <f t="shared" si="127"/>
        <v>1.7238446382715293E-5</v>
      </c>
      <c r="R43" s="125">
        <f t="shared" si="127"/>
        <v>7.5359943623209741E-4</v>
      </c>
      <c r="S43" s="125">
        <f t="shared" si="127"/>
        <v>3.4249721346299252E-5</v>
      </c>
      <c r="T43" s="125">
        <f t="shared" si="127"/>
        <v>1.0826173164411036E-6</v>
      </c>
      <c r="U43" s="125">
        <f t="shared" si="127"/>
        <v>2.7620292087835386E-2</v>
      </c>
      <c r="V43" s="125">
        <f t="shared" si="127"/>
        <v>0</v>
      </c>
      <c r="X43" s="92">
        <f>SUM(X41:X42)</f>
        <v>1</v>
      </c>
      <c r="Y43" s="92">
        <f>SUM(Y41:Y42)</f>
        <v>1</v>
      </c>
      <c r="Z43" s="21" t="s">
        <v>97</v>
      </c>
      <c r="AA43" s="170">
        <f>SUMPRODUCT($Z41:$Z42,AA41:AA42)</f>
        <v>6.8974814063964152E-3</v>
      </c>
      <c r="AB43" s="170">
        <f t="shared" ref="AB43:AL43" si="128">SUMPRODUCT($Z41:$Z42,AB41:AB42)</f>
        <v>6.9838250819111205E-7</v>
      </c>
      <c r="AC43" s="170">
        <f t="shared" si="128"/>
        <v>1.6481672931758136E-3</v>
      </c>
      <c r="AD43" s="170">
        <f t="shared" si="128"/>
        <v>1.4911786550818179E-6</v>
      </c>
      <c r="AE43" s="170">
        <f t="shared" si="128"/>
        <v>9.7880300377721236E-4</v>
      </c>
      <c r="AF43" s="170">
        <f t="shared" si="128"/>
        <v>9.6442259414023356E-3</v>
      </c>
      <c r="AG43" s="170">
        <f t="shared" si="128"/>
        <v>1.7238446382715293E-5</v>
      </c>
      <c r="AH43" s="170">
        <f t="shared" si="128"/>
        <v>7.5359943623209741E-4</v>
      </c>
      <c r="AI43" s="170">
        <f t="shared" si="128"/>
        <v>3.4249721346299252E-5</v>
      </c>
      <c r="AJ43" s="170">
        <f t="shared" si="128"/>
        <v>1.0826173164411036E-6</v>
      </c>
      <c r="AK43" s="170">
        <f t="shared" si="128"/>
        <v>2.7620292087835386E-2</v>
      </c>
      <c r="AL43" s="170">
        <f t="shared" si="128"/>
        <v>0</v>
      </c>
    </row>
    <row r="44" spans="1:38" x14ac:dyDescent="0.2">
      <c r="A44" s="119"/>
      <c r="B44" s="130"/>
      <c r="C44" s="131"/>
      <c r="D44" s="132"/>
      <c r="E44" s="133"/>
      <c r="F44" s="45"/>
      <c r="G44" s="133">
        <f>G41/G42</f>
        <v>6.6569346145032569</v>
      </c>
      <c r="H44" s="113"/>
      <c r="I44" s="114"/>
      <c r="J44" s="45"/>
      <c r="K44" s="171">
        <f>SUMPRODUCT($G41:$G42,K41:K42)</f>
        <v>1.6812172593040707E-2</v>
      </c>
      <c r="L44" s="171">
        <f t="shared" ref="L44:V44" si="129">SUMPRODUCT($G41:$G42,L41:L42)</f>
        <v>1.7099591440710288E-6</v>
      </c>
      <c r="M44" s="171">
        <f t="shared" si="129"/>
        <v>4.0354658097386835E-3</v>
      </c>
      <c r="N44" s="171">
        <f t="shared" si="129"/>
        <v>3.6510859690703002E-6</v>
      </c>
      <c r="O44" s="171">
        <f t="shared" si="129"/>
        <v>2.3965565101109654E-3</v>
      </c>
      <c r="P44" s="171">
        <f t="shared" si="129"/>
        <v>2.3613467036426881E-2</v>
      </c>
      <c r="Q44" s="171">
        <f t="shared" si="129"/>
        <v>4.2207584920835086E-5</v>
      </c>
      <c r="R44" s="171">
        <f t="shared" si="129"/>
        <v>1.8451553866798967E-3</v>
      </c>
      <c r="S44" s="171">
        <f t="shared" si="129"/>
        <v>8.3858950519365903E-5</v>
      </c>
      <c r="T44" s="171">
        <f t="shared" si="129"/>
        <v>2.6507413316708026E-6</v>
      </c>
      <c r="U44" s="171">
        <f t="shared" si="129"/>
        <v>6.7627081811995296E-2</v>
      </c>
      <c r="V44" s="171">
        <f t="shared" si="129"/>
        <v>0</v>
      </c>
    </row>
    <row r="45" spans="1:38" x14ac:dyDescent="0.2">
      <c r="A45" s="119"/>
      <c r="B45" s="130"/>
      <c r="C45" s="131"/>
      <c r="D45" s="132"/>
      <c r="E45" s="133"/>
      <c r="F45" s="45"/>
      <c r="G45" s="45"/>
      <c r="H45" s="113"/>
      <c r="I45" s="114"/>
      <c r="J45" s="45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</row>
    <row r="46" spans="1:38" ht="16.5" customHeight="1" thickBot="1" x14ac:dyDescent="0.25">
      <c r="B46" s="46"/>
      <c r="C46" s="117"/>
      <c r="D46" s="45"/>
      <c r="E46" s="45"/>
      <c r="F46" s="45"/>
      <c r="G46" s="113"/>
      <c r="H46" s="113"/>
      <c r="I46" s="114"/>
      <c r="J46" s="49" t="s">
        <v>99</v>
      </c>
      <c r="K46" s="50" t="s">
        <v>40</v>
      </c>
      <c r="L46" s="50" t="s">
        <v>41</v>
      </c>
      <c r="M46" s="50" t="s">
        <v>42</v>
      </c>
      <c r="N46" s="50" t="s">
        <v>43</v>
      </c>
      <c r="O46" s="50" t="s">
        <v>100</v>
      </c>
      <c r="P46" s="50" t="s">
        <v>45</v>
      </c>
      <c r="Q46" s="50" t="s">
        <v>101</v>
      </c>
      <c r="R46" s="50" t="s">
        <v>47</v>
      </c>
      <c r="S46" s="50" t="s">
        <v>48</v>
      </c>
      <c r="T46" s="50" t="s">
        <v>49</v>
      </c>
      <c r="U46" s="50" t="s">
        <v>24</v>
      </c>
      <c r="V46" s="50" t="s">
        <v>102</v>
      </c>
      <c r="Z46" s="49" t="s">
        <v>99</v>
      </c>
      <c r="AA46" s="50" t="s">
        <v>40</v>
      </c>
      <c r="AB46" s="50" t="s">
        <v>41</v>
      </c>
      <c r="AC46" s="50" t="s">
        <v>42</v>
      </c>
      <c r="AD46" s="50" t="s">
        <v>43</v>
      </c>
      <c r="AE46" s="50" t="s">
        <v>100</v>
      </c>
      <c r="AF46" s="50" t="s">
        <v>45</v>
      </c>
      <c r="AG46" s="50" t="s">
        <v>101</v>
      </c>
      <c r="AH46" s="50" t="s">
        <v>47</v>
      </c>
      <c r="AI46" s="50" t="s">
        <v>48</v>
      </c>
      <c r="AJ46" s="50" t="s">
        <v>49</v>
      </c>
      <c r="AK46" s="50" t="s">
        <v>24</v>
      </c>
      <c r="AL46" s="50" t="s">
        <v>102</v>
      </c>
    </row>
    <row r="47" spans="1:38" ht="16.5" customHeight="1" thickTop="1" x14ac:dyDescent="0.2">
      <c r="B47" s="46"/>
      <c r="C47" s="117"/>
      <c r="D47" s="45"/>
      <c r="E47" s="45"/>
      <c r="F47" s="45"/>
      <c r="G47" s="113"/>
      <c r="H47" s="113"/>
      <c r="I47" s="114"/>
      <c r="J47" s="51" t="s">
        <v>17</v>
      </c>
      <c r="K47" s="52">
        <f t="shared" ref="K47:V47" si="130">K13*1000</f>
        <v>6.9252038136269292</v>
      </c>
      <c r="L47" s="52">
        <f t="shared" si="130"/>
        <v>1.0709160042208601E-3</v>
      </c>
      <c r="M47" s="52">
        <f t="shared" si="130"/>
        <v>0.88972701089486705</v>
      </c>
      <c r="N47" s="52">
        <f t="shared" si="130"/>
        <v>1.5495910247690129E-3</v>
      </c>
      <c r="O47" s="52">
        <f t="shared" si="130"/>
        <v>0.98201779122570554</v>
      </c>
      <c r="P47" s="52">
        <f t="shared" si="130"/>
        <v>9.3870777878536735</v>
      </c>
      <c r="Q47" s="52">
        <f t="shared" si="130"/>
        <v>1.8051814970435114E-2</v>
      </c>
      <c r="R47" s="52">
        <f t="shared" si="130"/>
        <v>0.85616801657252006</v>
      </c>
      <c r="S47" s="52">
        <f t="shared" si="130"/>
        <v>9.8766751783626351E-3</v>
      </c>
      <c r="T47" s="52">
        <f t="shared" si="130"/>
        <v>1.4342457073863717E-3</v>
      </c>
      <c r="U47" s="52">
        <f t="shared" si="130"/>
        <v>26.45226607824269</v>
      </c>
      <c r="V47" s="52">
        <f t="shared" si="130"/>
        <v>2.1968478591636194</v>
      </c>
      <c r="Z47" s="51" t="s">
        <v>17</v>
      </c>
      <c r="AA47" s="52">
        <f t="shared" ref="AA47:AL47" si="131">AA13*1000</f>
        <v>7.2105709124380821</v>
      </c>
      <c r="AB47" s="52">
        <f t="shared" si="131"/>
        <v>1.1150452748415445E-3</v>
      </c>
      <c r="AC47" s="52">
        <f t="shared" si="131"/>
        <v>0.92639002077385157</v>
      </c>
      <c r="AD47" s="52">
        <f t="shared" si="131"/>
        <v>1.613445072531766E-3</v>
      </c>
      <c r="AE47" s="52">
        <f t="shared" si="131"/>
        <v>1.0224838302918176</v>
      </c>
      <c r="AF47" s="52">
        <f t="shared" si="131"/>
        <v>9.7738914076006225</v>
      </c>
      <c r="AG47" s="52">
        <f t="shared" si="131"/>
        <v>1.8795676697111269E-2</v>
      </c>
      <c r="AH47" s="52">
        <f t="shared" si="131"/>
        <v>0.89144815988085691</v>
      </c>
      <c r="AI47" s="52">
        <f t="shared" si="131"/>
        <v>1.0283663653705912E-2</v>
      </c>
      <c r="AJ47" s="52">
        <f t="shared" si="131"/>
        <v>1.4933467169037859E-3</v>
      </c>
      <c r="AK47" s="52">
        <f t="shared" si="131"/>
        <v>27.542285466968142</v>
      </c>
      <c r="AL47" s="52">
        <f t="shared" si="131"/>
        <v>0</v>
      </c>
    </row>
    <row r="48" spans="1:38" x14ac:dyDescent="0.2">
      <c r="A48" s="94"/>
      <c r="B48" s="95"/>
      <c r="C48" s="94"/>
      <c r="D48" s="96"/>
      <c r="E48" s="96"/>
      <c r="F48" s="96"/>
      <c r="G48" s="96"/>
      <c r="H48" s="96"/>
      <c r="J48" s="51" t="s">
        <v>18</v>
      </c>
      <c r="K48" s="52">
        <f t="shared" ref="K48:V48" si="132">K21*1000</f>
        <v>6.8444376977195853</v>
      </c>
      <c r="L48" s="52">
        <f t="shared" si="132"/>
        <v>1.1370098412481744E-3</v>
      </c>
      <c r="M48" s="52">
        <f t="shared" si="132"/>
        <v>1.2851913430771376</v>
      </c>
      <c r="N48" s="52">
        <f t="shared" si="132"/>
        <v>1.363205247945001E-3</v>
      </c>
      <c r="O48" s="52">
        <f t="shared" si="132"/>
        <v>0.9117347994068643</v>
      </c>
      <c r="P48" s="52">
        <f t="shared" si="132"/>
        <v>8.3820383797349063</v>
      </c>
      <c r="Q48" s="52">
        <f t="shared" si="132"/>
        <v>1.6075084189161516E-2</v>
      </c>
      <c r="R48" s="52">
        <f t="shared" si="132"/>
        <v>1.0664074449122483</v>
      </c>
      <c r="S48" s="52">
        <f t="shared" si="132"/>
        <v>1.2508643084418101E-2</v>
      </c>
      <c r="T48" s="52">
        <f t="shared" si="132"/>
        <v>1.7967507947985514E-3</v>
      </c>
      <c r="U48" s="52">
        <f t="shared" si="132"/>
        <v>26.037132085804171</v>
      </c>
      <c r="V48" s="52">
        <f t="shared" si="132"/>
        <v>3.2075016620903742</v>
      </c>
      <c r="Z48" s="51" t="s">
        <v>18</v>
      </c>
      <c r="AA48" s="52">
        <f t="shared" ref="AA48:AL48" si="133">AA21*1000</f>
        <v>7.2641851425400947</v>
      </c>
      <c r="AB48" s="52">
        <f t="shared" si="133"/>
        <v>1.206739013559686E-3</v>
      </c>
      <c r="AC48" s="52">
        <f t="shared" si="133"/>
        <v>1.3640080123473977</v>
      </c>
      <c r="AD48" s="52">
        <f t="shared" si="133"/>
        <v>1.4468062601627712E-3</v>
      </c>
      <c r="AE48" s="52">
        <f t="shared" si="133"/>
        <v>0.96764857484125488</v>
      </c>
      <c r="AF48" s="52">
        <f t="shared" si="133"/>
        <v>8.8960819502466819</v>
      </c>
      <c r="AG48" s="52">
        <f t="shared" si="133"/>
        <v>1.7060917622333568E-2</v>
      </c>
      <c r="AH48" s="52">
        <f t="shared" si="133"/>
        <v>1.1318067983592994</v>
      </c>
      <c r="AI48" s="52">
        <f t="shared" si="133"/>
        <v>1.327575810609557E-2</v>
      </c>
      <c r="AJ48" s="52">
        <f t="shared" si="133"/>
        <v>1.9069397669835397E-3</v>
      </c>
      <c r="AK48" s="52">
        <f t="shared" si="133"/>
        <v>27.633906013209735</v>
      </c>
      <c r="AL48" s="52">
        <f t="shared" si="133"/>
        <v>0</v>
      </c>
    </row>
    <row r="49" spans="1:38" x14ac:dyDescent="0.2">
      <c r="A49" s="94"/>
      <c r="B49" s="95"/>
      <c r="C49" s="94"/>
      <c r="D49" s="96"/>
      <c r="E49" s="96"/>
      <c r="F49" s="96"/>
      <c r="G49" s="96"/>
      <c r="H49" s="96"/>
      <c r="J49" s="51" t="s">
        <v>19</v>
      </c>
      <c r="K49" s="53">
        <f t="shared" ref="K49:V49" si="134">K29*1000</f>
        <v>6.603190944876502</v>
      </c>
      <c r="L49" s="53">
        <f t="shared" si="134"/>
        <v>1.5999834842607339E-3</v>
      </c>
      <c r="M49" s="53">
        <f t="shared" si="134"/>
        <v>1.6031636227567743</v>
      </c>
      <c r="N49" s="53">
        <f t="shared" si="134"/>
        <v>1.4701525561227086E-3</v>
      </c>
      <c r="O49" s="53">
        <f t="shared" si="134"/>
        <v>0.72005539907127247</v>
      </c>
      <c r="P49" s="53">
        <f t="shared" si="134"/>
        <v>7.0652831082188223</v>
      </c>
      <c r="Q49" s="53">
        <f t="shared" si="134"/>
        <v>1.5157705960461365E-2</v>
      </c>
      <c r="R49" s="53">
        <f t="shared" si="134"/>
        <v>1.842837076831217</v>
      </c>
      <c r="S49" s="53">
        <f t="shared" si="134"/>
        <v>8.9200163541141939E-3</v>
      </c>
      <c r="T49" s="53">
        <f t="shared" si="134"/>
        <v>1.9560511534245321E-3</v>
      </c>
      <c r="U49" s="53">
        <f t="shared" si="134"/>
        <v>25.283454409801827</v>
      </c>
      <c r="V49" s="53">
        <f t="shared" si="134"/>
        <v>4.4255737021310759</v>
      </c>
      <c r="Z49" s="51" t="s">
        <v>19</v>
      </c>
      <c r="AA49" s="53">
        <f t="shared" ref="AA49:AL49" si="135">AA29*1000</f>
        <v>7.1752500245079176</v>
      </c>
      <c r="AB49" s="53">
        <f t="shared" si="135"/>
        <v>1.7385960258444117E-3</v>
      </c>
      <c r="AC49" s="53">
        <f t="shared" si="135"/>
        <v>1.742051671609034</v>
      </c>
      <c r="AD49" s="53">
        <f t="shared" si="135"/>
        <v>1.5975173597750829E-3</v>
      </c>
      <c r="AE49" s="53">
        <f t="shared" si="135"/>
        <v>0.78243648608132688</v>
      </c>
      <c r="AF49" s="53">
        <f t="shared" si="135"/>
        <v>7.6773749568362089</v>
      </c>
      <c r="AG49" s="53">
        <f t="shared" si="135"/>
        <v>1.6470874607779244E-2</v>
      </c>
      <c r="AH49" s="53">
        <f t="shared" si="135"/>
        <v>2.0024889316516035</v>
      </c>
      <c r="AI49" s="53">
        <f t="shared" si="135"/>
        <v>9.6927906670834472E-3</v>
      </c>
      <c r="AJ49" s="53">
        <f t="shared" si="135"/>
        <v>2.1255111663003117E-3</v>
      </c>
      <c r="AK49" s="53">
        <f t="shared" si="135"/>
        <v>27.473854442197773</v>
      </c>
      <c r="AL49" s="53">
        <f t="shared" si="135"/>
        <v>0</v>
      </c>
    </row>
    <row r="50" spans="1:38" x14ac:dyDescent="0.2">
      <c r="A50" s="94"/>
      <c r="B50" s="95"/>
      <c r="C50" s="94"/>
      <c r="D50" s="96"/>
      <c r="E50" s="96"/>
      <c r="F50" s="96"/>
      <c r="G50" s="96"/>
      <c r="H50" s="96"/>
      <c r="J50" s="54" t="s">
        <v>20</v>
      </c>
      <c r="K50" s="55">
        <f t="shared" ref="K50:V50" si="136">K38*1000</f>
        <v>6.5456515925378094</v>
      </c>
      <c r="L50" s="55">
        <f t="shared" si="136"/>
        <v>2.3056451763989057E-3</v>
      </c>
      <c r="M50" s="55">
        <f t="shared" si="136"/>
        <v>2.1199186920377331</v>
      </c>
      <c r="N50" s="55">
        <f t="shared" si="136"/>
        <v>1.4329759983935E-3</v>
      </c>
      <c r="O50" s="55">
        <f t="shared" si="136"/>
        <v>0.72215110200581467</v>
      </c>
      <c r="P50" s="55">
        <f t="shared" si="136"/>
        <v>7.0163045478577128</v>
      </c>
      <c r="Q50" s="55">
        <f t="shared" si="136"/>
        <v>1.2976171053087305E-2</v>
      </c>
      <c r="R50" s="55">
        <f t="shared" si="136"/>
        <v>1.5561864441465569</v>
      </c>
      <c r="S50" s="55">
        <f t="shared" si="136"/>
        <v>2.1594777500456099E-2</v>
      </c>
      <c r="T50" s="55">
        <f t="shared" si="136"/>
        <v>2.076884387810046E-3</v>
      </c>
      <c r="U50" s="55">
        <f t="shared" si="136"/>
        <v>25.621842330696484</v>
      </c>
      <c r="V50" s="55">
        <f t="shared" si="136"/>
        <v>4.126557832588917</v>
      </c>
      <c r="Z50" s="54" t="s">
        <v>20</v>
      </c>
      <c r="AA50" s="55">
        <f t="shared" ref="AA50:AL50" si="137">AA38*1000</f>
        <v>7.0713341439516757</v>
      </c>
      <c r="AB50" s="55">
        <f t="shared" si="137"/>
        <v>2.4908119885717695E-3</v>
      </c>
      <c r="AC50" s="55">
        <f t="shared" si="137"/>
        <v>2.2901697741593043</v>
      </c>
      <c r="AD50" s="55">
        <f t="shared" si="137"/>
        <v>1.548058579294857E-3</v>
      </c>
      <c r="AE50" s="55">
        <f t="shared" si="137"/>
        <v>0.78014719734360072</v>
      </c>
      <c r="AF50" s="55">
        <f t="shared" si="137"/>
        <v>7.5797853295753592</v>
      </c>
      <c r="AG50" s="55">
        <f t="shared" si="137"/>
        <v>1.401828987202142E-2</v>
      </c>
      <c r="AH50" s="55">
        <f t="shared" si="137"/>
        <v>1.6811640798898408</v>
      </c>
      <c r="AI50" s="55">
        <f t="shared" si="137"/>
        <v>2.3329058278033089E-2</v>
      </c>
      <c r="AJ50" s="55">
        <f t="shared" si="137"/>
        <v>2.2436793765962305E-3</v>
      </c>
      <c r="AK50" s="55">
        <f t="shared" si="137"/>
        <v>27.679537467370007</v>
      </c>
      <c r="AL50" s="55">
        <f t="shared" si="137"/>
        <v>0</v>
      </c>
    </row>
    <row r="51" spans="1:38" x14ac:dyDescent="0.2">
      <c r="A51" s="94"/>
      <c r="B51" s="95"/>
      <c r="C51" s="94"/>
      <c r="D51" s="96"/>
      <c r="E51" s="96"/>
      <c r="F51" s="96"/>
      <c r="G51" s="96"/>
      <c r="H51" s="96"/>
      <c r="J51" s="121" t="s">
        <v>147</v>
      </c>
      <c r="K51" s="122">
        <f t="shared" ref="K51:V51" si="138">K43*1000</f>
        <v>6.8664373089734614</v>
      </c>
      <c r="L51" s="122">
        <f t="shared" si="138"/>
        <v>6.9838250819111202E-4</v>
      </c>
      <c r="M51" s="122">
        <f t="shared" si="138"/>
        <v>1.6481672931758136</v>
      </c>
      <c r="N51" s="122">
        <f t="shared" si="138"/>
        <v>1.4911786550818179E-3</v>
      </c>
      <c r="O51" s="122">
        <f t="shared" si="138"/>
        <v>0.97880300377721241</v>
      </c>
      <c r="P51" s="122">
        <f t="shared" si="138"/>
        <v>9.6442259414023361</v>
      </c>
      <c r="Q51" s="122">
        <f t="shared" si="138"/>
        <v>1.7238446382715295E-2</v>
      </c>
      <c r="R51" s="122">
        <f t="shared" si="138"/>
        <v>0.75359943623209735</v>
      </c>
      <c r="S51" s="122">
        <f t="shared" si="138"/>
        <v>3.424972134629925E-2</v>
      </c>
      <c r="T51" s="122">
        <f t="shared" si="138"/>
        <v>1.0826173164411035E-3</v>
      </c>
      <c r="U51" s="122">
        <f t="shared" si="138"/>
        <v>27.620292087835384</v>
      </c>
      <c r="V51" s="122">
        <f t="shared" si="138"/>
        <v>0</v>
      </c>
      <c r="Z51" s="121" t="s">
        <v>147</v>
      </c>
      <c r="AA51" s="122">
        <f t="shared" ref="AA51:AL51" si="139">AA43*1000</f>
        <v>6.8974814063964152</v>
      </c>
      <c r="AB51" s="122">
        <f t="shared" si="139"/>
        <v>6.9838250819111202E-4</v>
      </c>
      <c r="AC51" s="122">
        <f t="shared" si="139"/>
        <v>1.6481672931758136</v>
      </c>
      <c r="AD51" s="122">
        <f t="shared" si="139"/>
        <v>1.4911786550818179E-3</v>
      </c>
      <c r="AE51" s="122">
        <f t="shared" si="139"/>
        <v>0.97880300377721241</v>
      </c>
      <c r="AF51" s="122">
        <f t="shared" si="139"/>
        <v>9.6442259414023361</v>
      </c>
      <c r="AG51" s="122">
        <f t="shared" si="139"/>
        <v>1.7238446382715295E-2</v>
      </c>
      <c r="AH51" s="122">
        <f t="shared" si="139"/>
        <v>0.75359943623209735</v>
      </c>
      <c r="AI51" s="122">
        <f t="shared" si="139"/>
        <v>3.424972134629925E-2</v>
      </c>
      <c r="AJ51" s="122">
        <f t="shared" si="139"/>
        <v>1.0826173164411035E-3</v>
      </c>
      <c r="AK51" s="122">
        <f t="shared" si="139"/>
        <v>27.620292087835384</v>
      </c>
      <c r="AL51" s="122">
        <f t="shared" si="139"/>
        <v>0</v>
      </c>
    </row>
    <row r="52" spans="1:38" ht="16" x14ac:dyDescent="0.2">
      <c r="A52" s="94"/>
      <c r="B52" s="95"/>
      <c r="C52" s="94"/>
      <c r="D52" s="96"/>
      <c r="E52" s="96"/>
      <c r="F52" s="96"/>
      <c r="G52" s="96"/>
      <c r="H52" s="96"/>
      <c r="J52" s="128"/>
      <c r="K52" s="9"/>
      <c r="L52" s="10"/>
      <c r="M52" s="17"/>
      <c r="Z52" s="128"/>
      <c r="AA52" s="9"/>
      <c r="AB52" s="10"/>
      <c r="AC52" s="17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8" thickBot="1" x14ac:dyDescent="0.25">
      <c r="A53" s="94"/>
      <c r="B53" s="95"/>
      <c r="C53" s="94"/>
      <c r="D53" s="96"/>
      <c r="E53" s="96"/>
      <c r="F53" s="96"/>
      <c r="G53" s="96"/>
      <c r="H53" s="96"/>
      <c r="J53" s="32" t="s">
        <v>86</v>
      </c>
      <c r="K53" s="33" t="s">
        <v>40</v>
      </c>
      <c r="L53" s="33" t="s">
        <v>42</v>
      </c>
      <c r="M53" s="33" t="s">
        <v>83</v>
      </c>
      <c r="N53" s="33" t="s">
        <v>45</v>
      </c>
      <c r="O53" s="33" t="s">
        <v>47</v>
      </c>
      <c r="P53" s="33" t="s">
        <v>85</v>
      </c>
      <c r="Z53" s="32" t="s">
        <v>86</v>
      </c>
      <c r="AA53" s="33" t="s">
        <v>40</v>
      </c>
      <c r="AB53" s="33" t="s">
        <v>42</v>
      </c>
      <c r="AC53" s="33" t="s">
        <v>83</v>
      </c>
      <c r="AD53" s="33" t="s">
        <v>45</v>
      </c>
      <c r="AE53" s="33" t="s">
        <v>47</v>
      </c>
      <c r="AF53" s="33" t="s">
        <v>85</v>
      </c>
      <c r="AG53" s="2"/>
      <c r="AH53" s="2"/>
      <c r="AI53" s="2"/>
      <c r="AJ53" s="2"/>
      <c r="AK53" s="2"/>
      <c r="AL53" s="2"/>
    </row>
    <row r="54" spans="1:38" ht="16" thickTop="1" x14ac:dyDescent="0.2">
      <c r="A54" s="94"/>
      <c r="B54" s="95"/>
      <c r="C54" s="94"/>
      <c r="D54" s="96"/>
      <c r="E54" s="96"/>
      <c r="F54" s="96"/>
      <c r="G54" s="96"/>
      <c r="H54" s="96"/>
      <c r="J54" s="28" t="s">
        <v>17</v>
      </c>
      <c r="K54" s="18">
        <f>K47</f>
        <v>6.9252038136269292</v>
      </c>
      <c r="L54" s="18">
        <f>M47</f>
        <v>0.88972701089486705</v>
      </c>
      <c r="M54" s="18">
        <f t="shared" ref="M54:N57" si="140">O47</f>
        <v>0.98201779122570554</v>
      </c>
      <c r="N54" s="18">
        <f t="shared" si="140"/>
        <v>9.3870777878536735</v>
      </c>
      <c r="O54" s="18">
        <f>R47</f>
        <v>0.85616801657252006</v>
      </c>
      <c r="P54" s="18">
        <f>V47</f>
        <v>2.1968478591636194</v>
      </c>
      <c r="Z54" s="28" t="s">
        <v>17</v>
      </c>
      <c r="AA54" s="18">
        <f>AA47</f>
        <v>7.2105709124380821</v>
      </c>
      <c r="AB54" s="18">
        <f>AC47</f>
        <v>0.92639002077385157</v>
      </c>
      <c r="AC54" s="18">
        <f t="shared" ref="AC54:AC58" si="141">AE47</f>
        <v>1.0224838302918176</v>
      </c>
      <c r="AD54" s="18">
        <f t="shared" ref="AD54:AD58" si="142">AF47</f>
        <v>9.7738914076006225</v>
      </c>
      <c r="AE54" s="18">
        <f>AH47</f>
        <v>0.89144815988085691</v>
      </c>
      <c r="AF54" s="18">
        <f>AL47</f>
        <v>0</v>
      </c>
      <c r="AG54" s="2"/>
      <c r="AH54" s="2"/>
      <c r="AI54" s="2"/>
      <c r="AJ54" s="2"/>
      <c r="AK54" s="2"/>
      <c r="AL54" s="2"/>
    </row>
    <row r="55" spans="1:38" x14ac:dyDescent="0.2">
      <c r="A55" s="94"/>
      <c r="B55" s="95"/>
      <c r="C55" s="94"/>
      <c r="D55" s="96"/>
      <c r="E55" s="96"/>
      <c r="F55" s="96"/>
      <c r="G55" s="96"/>
      <c r="H55" s="96"/>
      <c r="J55" s="28" t="s">
        <v>18</v>
      </c>
      <c r="K55" s="18">
        <f>K48</f>
        <v>6.8444376977195853</v>
      </c>
      <c r="L55" s="18">
        <f>M48</f>
        <v>1.2851913430771376</v>
      </c>
      <c r="M55" s="18">
        <f t="shared" si="140"/>
        <v>0.9117347994068643</v>
      </c>
      <c r="N55" s="18">
        <f t="shared" si="140"/>
        <v>8.3820383797349063</v>
      </c>
      <c r="O55" s="18">
        <f>R48</f>
        <v>1.0664074449122483</v>
      </c>
      <c r="P55" s="18">
        <f>V48</f>
        <v>3.2075016620903742</v>
      </c>
      <c r="Z55" s="28" t="s">
        <v>18</v>
      </c>
      <c r="AA55" s="18">
        <f>AA48</f>
        <v>7.2641851425400947</v>
      </c>
      <c r="AB55" s="18">
        <f>AC48</f>
        <v>1.3640080123473977</v>
      </c>
      <c r="AC55" s="18">
        <f t="shared" si="141"/>
        <v>0.96764857484125488</v>
      </c>
      <c r="AD55" s="18">
        <f t="shared" si="142"/>
        <v>8.8960819502466819</v>
      </c>
      <c r="AE55" s="18">
        <f>AH48</f>
        <v>1.1318067983592994</v>
      </c>
      <c r="AF55" s="18">
        <f>AL48</f>
        <v>0</v>
      </c>
      <c r="AG55" s="2"/>
      <c r="AH55" s="2"/>
      <c r="AI55" s="2"/>
      <c r="AJ55" s="2"/>
      <c r="AK55" s="2"/>
      <c r="AL55" s="2"/>
    </row>
    <row r="56" spans="1:38" x14ac:dyDescent="0.2">
      <c r="A56" s="94"/>
      <c r="B56" s="95"/>
      <c r="C56" s="94"/>
      <c r="D56" s="96"/>
      <c r="E56" s="96"/>
      <c r="F56" s="96"/>
      <c r="G56" s="96"/>
      <c r="H56" s="96"/>
      <c r="J56" s="28" t="s">
        <v>19</v>
      </c>
      <c r="K56" s="18">
        <f>K49</f>
        <v>6.603190944876502</v>
      </c>
      <c r="L56" s="18">
        <f>M49</f>
        <v>1.6031636227567743</v>
      </c>
      <c r="M56" s="18">
        <f t="shared" si="140"/>
        <v>0.72005539907127247</v>
      </c>
      <c r="N56" s="18">
        <f t="shared" si="140"/>
        <v>7.0652831082188223</v>
      </c>
      <c r="O56" s="18">
        <f>R49</f>
        <v>1.842837076831217</v>
      </c>
      <c r="P56" s="18">
        <f>V49</f>
        <v>4.4255737021310759</v>
      </c>
      <c r="Z56" s="28" t="s">
        <v>19</v>
      </c>
      <c r="AA56" s="18">
        <f>AA49</f>
        <v>7.1752500245079176</v>
      </c>
      <c r="AB56" s="18">
        <f>AC49</f>
        <v>1.742051671609034</v>
      </c>
      <c r="AC56" s="18">
        <f t="shared" si="141"/>
        <v>0.78243648608132688</v>
      </c>
      <c r="AD56" s="18">
        <f t="shared" si="142"/>
        <v>7.6773749568362089</v>
      </c>
      <c r="AE56" s="18">
        <f>AH49</f>
        <v>2.0024889316516035</v>
      </c>
      <c r="AF56" s="18">
        <f>AL49</f>
        <v>0</v>
      </c>
      <c r="AG56" s="2"/>
      <c r="AH56" s="2"/>
      <c r="AI56" s="2"/>
      <c r="AJ56" s="2"/>
      <c r="AK56" s="2"/>
      <c r="AL56" s="2"/>
    </row>
    <row r="57" spans="1:38" x14ac:dyDescent="0.2">
      <c r="A57" s="94"/>
      <c r="B57" s="95"/>
      <c r="C57" s="94"/>
      <c r="D57" s="96"/>
      <c r="E57" s="96"/>
      <c r="F57" s="96"/>
      <c r="G57" s="96"/>
      <c r="H57" s="96"/>
      <c r="J57" s="34" t="s">
        <v>20</v>
      </c>
      <c r="K57" s="37">
        <f>K50</f>
        <v>6.5456515925378094</v>
      </c>
      <c r="L57" s="37">
        <f>M50</f>
        <v>2.1199186920377331</v>
      </c>
      <c r="M57" s="37">
        <f t="shared" si="140"/>
        <v>0.72215110200581467</v>
      </c>
      <c r="N57" s="37">
        <f t="shared" si="140"/>
        <v>7.0163045478577128</v>
      </c>
      <c r="O57" s="37">
        <f>R50</f>
        <v>1.5561864441465569</v>
      </c>
      <c r="P57" s="37">
        <f>V50</f>
        <v>4.126557832588917</v>
      </c>
      <c r="Z57" s="34" t="s">
        <v>20</v>
      </c>
      <c r="AA57" s="37">
        <f>AA50</f>
        <v>7.0713341439516757</v>
      </c>
      <c r="AB57" s="37">
        <f>AC50</f>
        <v>2.2901697741593043</v>
      </c>
      <c r="AC57" s="37">
        <f t="shared" si="141"/>
        <v>0.78014719734360072</v>
      </c>
      <c r="AD57" s="37">
        <f t="shared" si="142"/>
        <v>7.5797853295753592</v>
      </c>
      <c r="AE57" s="37">
        <f>AH50</f>
        <v>1.6811640798898408</v>
      </c>
      <c r="AF57" s="37">
        <f>AL50</f>
        <v>0</v>
      </c>
      <c r="AG57" s="2"/>
      <c r="AH57" s="2"/>
      <c r="AI57" s="2"/>
      <c r="AJ57" s="2"/>
      <c r="AK57" s="2"/>
      <c r="AL57" s="2"/>
    </row>
    <row r="58" spans="1:38" x14ac:dyDescent="0.2">
      <c r="A58" s="94"/>
      <c r="B58" s="95"/>
      <c r="C58" s="94"/>
      <c r="D58" s="96"/>
      <c r="E58" s="96"/>
      <c r="F58" s="96"/>
      <c r="G58" s="96"/>
      <c r="H58" s="96"/>
      <c r="J58" s="126" t="s">
        <v>147</v>
      </c>
      <c r="K58" s="37">
        <f>K51</f>
        <v>6.8664373089734614</v>
      </c>
      <c r="L58" s="37">
        <f>M51</f>
        <v>1.6481672931758136</v>
      </c>
      <c r="M58" s="37">
        <f t="shared" ref="M58" si="143">O51</f>
        <v>0.97880300377721241</v>
      </c>
      <c r="N58" s="37">
        <f t="shared" ref="N58" si="144">P51</f>
        <v>9.6442259414023361</v>
      </c>
      <c r="O58" s="37">
        <f>R51</f>
        <v>0.75359943623209735</v>
      </c>
      <c r="P58" s="37">
        <f>V51</f>
        <v>0</v>
      </c>
      <c r="Z58" s="126" t="s">
        <v>147</v>
      </c>
      <c r="AA58" s="37">
        <f>AA51</f>
        <v>6.8974814063964152</v>
      </c>
      <c r="AB58" s="37">
        <f>AC51</f>
        <v>1.6481672931758136</v>
      </c>
      <c r="AC58" s="37">
        <f t="shared" si="141"/>
        <v>0.97880300377721241</v>
      </c>
      <c r="AD58" s="37">
        <f t="shared" si="142"/>
        <v>9.6442259414023361</v>
      </c>
      <c r="AE58" s="37">
        <f>AH51</f>
        <v>0.75359943623209735</v>
      </c>
      <c r="AF58" s="37">
        <f>AL51</f>
        <v>0</v>
      </c>
      <c r="AG58" s="2"/>
      <c r="AH58" s="2"/>
      <c r="AI58" s="2"/>
      <c r="AJ58" s="2"/>
      <c r="AK58" s="2"/>
      <c r="AL58" s="2"/>
    </row>
    <row r="59" spans="1:38" x14ac:dyDescent="0.2">
      <c r="A59" s="94"/>
      <c r="B59" s="95"/>
      <c r="C59" s="94"/>
      <c r="D59" s="96"/>
      <c r="E59" s="96"/>
      <c r="F59" s="96"/>
      <c r="G59" s="96"/>
      <c r="H59" s="96"/>
      <c r="J59" s="29"/>
      <c r="Y59" s="94"/>
      <c r="Z59" s="94"/>
      <c r="AA59" s="94"/>
      <c r="AB59" s="94"/>
      <c r="AC59" s="94"/>
      <c r="AD59" s="94"/>
      <c r="AE59" s="94"/>
      <c r="AF59" s="94"/>
      <c r="AG59" s="94"/>
      <c r="AH59" s="94"/>
    </row>
    <row r="60" spans="1:38" ht="16" thickBot="1" x14ac:dyDescent="0.25">
      <c r="A60" s="94"/>
      <c r="B60" s="95"/>
      <c r="C60" s="94"/>
      <c r="D60" s="96"/>
      <c r="E60" s="96"/>
      <c r="F60" s="96"/>
      <c r="G60" s="96"/>
      <c r="H60" s="96"/>
      <c r="J60" s="32" t="s">
        <v>144</v>
      </c>
      <c r="K60" s="43" t="s">
        <v>135</v>
      </c>
      <c r="L60" s="43" t="s">
        <v>140</v>
      </c>
      <c r="M60" s="43" t="s">
        <v>141</v>
      </c>
      <c r="N60" s="43" t="s">
        <v>142</v>
      </c>
      <c r="O60" s="43" t="s">
        <v>138</v>
      </c>
      <c r="P60" s="43" t="s">
        <v>143</v>
      </c>
      <c r="Q60" s="43" t="s">
        <v>139</v>
      </c>
      <c r="R60" s="43" t="s">
        <v>192</v>
      </c>
      <c r="S60" s="41"/>
      <c r="Y60" s="94"/>
      <c r="Z60" s="94"/>
      <c r="AA60" s="94"/>
      <c r="AB60" s="94"/>
      <c r="AC60" s="94"/>
      <c r="AD60" s="94"/>
      <c r="AE60" s="94"/>
      <c r="AF60" s="94"/>
      <c r="AG60" s="94"/>
      <c r="AH60" s="94"/>
    </row>
    <row r="61" spans="1:38" ht="16" thickTop="1" x14ac:dyDescent="0.2">
      <c r="A61" s="94"/>
      <c r="B61" s="95"/>
      <c r="C61" s="94"/>
      <c r="D61" s="96"/>
      <c r="E61" s="96"/>
      <c r="F61" s="96"/>
      <c r="G61" s="96"/>
      <c r="H61" s="96"/>
      <c r="J61" s="28" t="s">
        <v>17</v>
      </c>
      <c r="K61" s="102">
        <f>E9</f>
        <v>40.916766239870434</v>
      </c>
      <c r="L61" s="103">
        <f>E10</f>
        <v>30.919603368311371</v>
      </c>
      <c r="M61" s="103">
        <f>E11</f>
        <v>15.032816685259956</v>
      </c>
      <c r="N61" s="103">
        <f>E12</f>
        <v>0.1308137065582404</v>
      </c>
      <c r="O61" s="103">
        <v>0</v>
      </c>
      <c r="P61" s="41">
        <v>0</v>
      </c>
      <c r="Q61" s="103">
        <v>0</v>
      </c>
      <c r="R61" s="103">
        <f>E8-F8/100*E8</f>
        <v>12.999999999999993</v>
      </c>
      <c r="S61" s="41"/>
      <c r="Y61" s="94"/>
      <c r="Z61" s="94"/>
      <c r="AA61" s="94"/>
      <c r="AB61" s="94"/>
      <c r="AC61" s="94"/>
      <c r="AD61" s="94"/>
      <c r="AE61" s="94"/>
      <c r="AF61" s="94"/>
      <c r="AG61" s="94"/>
      <c r="AH61" s="94"/>
    </row>
    <row r="62" spans="1:38" x14ac:dyDescent="0.2">
      <c r="A62" s="94"/>
      <c r="B62" s="95"/>
      <c r="C62" s="94"/>
      <c r="D62" s="96"/>
      <c r="E62" s="96"/>
      <c r="F62" s="96"/>
      <c r="G62" s="96"/>
      <c r="H62" s="96"/>
      <c r="J62" s="28" t="s">
        <v>18</v>
      </c>
      <c r="K62" s="103">
        <f>E17</f>
        <v>25.667994541586502</v>
      </c>
      <c r="L62" s="103">
        <f>E18</f>
        <v>44.926528963212213</v>
      </c>
      <c r="M62" s="103">
        <f>E19</f>
        <v>17.403637247174029</v>
      </c>
      <c r="N62" s="103">
        <f>E20</f>
        <v>1.0018392480272582</v>
      </c>
      <c r="O62" s="103">
        <v>0</v>
      </c>
      <c r="P62" s="103">
        <v>0</v>
      </c>
      <c r="Q62" s="103">
        <v>0</v>
      </c>
      <c r="R62" s="103">
        <f>E16-F16/100*E16</f>
        <v>11</v>
      </c>
      <c r="S62" s="41"/>
      <c r="Y62" s="94"/>
      <c r="Z62" s="94"/>
      <c r="AA62" s="94"/>
      <c r="AB62" s="94"/>
      <c r="AC62" s="94"/>
      <c r="AD62" s="94"/>
      <c r="AE62" s="94"/>
      <c r="AF62" s="94"/>
      <c r="AG62" s="94"/>
      <c r="AH62" s="94"/>
    </row>
    <row r="63" spans="1:38" x14ac:dyDescent="0.2">
      <c r="A63" s="94"/>
      <c r="B63" s="95"/>
      <c r="C63" s="94"/>
      <c r="D63" s="96"/>
      <c r="E63" s="96"/>
      <c r="F63" s="96"/>
      <c r="G63" s="96"/>
      <c r="H63" s="96"/>
      <c r="J63" s="28" t="s">
        <v>19</v>
      </c>
      <c r="K63" s="103">
        <f>E25</f>
        <v>13.761162600770025</v>
      </c>
      <c r="L63" s="103">
        <f>E26</f>
        <v>52.475534902779877</v>
      </c>
      <c r="M63" s="103">
        <v>0</v>
      </c>
      <c r="N63" s="103">
        <v>0</v>
      </c>
      <c r="O63" s="103">
        <f>E27</f>
        <v>18.870066786371826</v>
      </c>
      <c r="P63" s="103">
        <f>E28</f>
        <v>0.89323571007828262</v>
      </c>
      <c r="Q63" s="103">
        <v>0</v>
      </c>
      <c r="R63" s="103">
        <f>E24-F24/100*E24</f>
        <v>13.999999999999993</v>
      </c>
      <c r="S63" s="41"/>
      <c r="Y63" s="94"/>
      <c r="Z63" s="94"/>
      <c r="AA63" s="94"/>
      <c r="AB63" s="94"/>
      <c r="AC63" s="94"/>
      <c r="AD63" s="94"/>
      <c r="AE63" s="94"/>
      <c r="AF63" s="94"/>
      <c r="AG63" s="94"/>
      <c r="AH63" s="94"/>
    </row>
    <row r="64" spans="1:38" x14ac:dyDescent="0.2">
      <c r="A64" s="94"/>
      <c r="B64" s="95"/>
      <c r="C64" s="94"/>
      <c r="D64" s="96"/>
      <c r="E64" s="96"/>
      <c r="F64" s="96"/>
      <c r="G64" s="96"/>
      <c r="H64" s="96"/>
      <c r="J64" s="34" t="s">
        <v>20</v>
      </c>
      <c r="K64" s="104">
        <f>E33</f>
        <v>15.579758509799165</v>
      </c>
      <c r="L64" s="104">
        <f>E34</f>
        <v>52.648504338328983</v>
      </c>
      <c r="M64" s="104">
        <v>0</v>
      </c>
      <c r="N64" s="104">
        <v>0</v>
      </c>
      <c r="O64" s="104">
        <f>E35</f>
        <v>12.65184151447121</v>
      </c>
      <c r="P64" s="104">
        <f>E37</f>
        <v>1.804805533644803</v>
      </c>
      <c r="Q64" s="104">
        <f>E36</f>
        <v>7.3150901037558409</v>
      </c>
      <c r="R64" s="104">
        <f>E32-F32/100*E32</f>
        <v>10</v>
      </c>
      <c r="Y64" s="94"/>
      <c r="Z64" s="94"/>
      <c r="AA64" s="94"/>
      <c r="AB64" s="94"/>
      <c r="AC64" s="94"/>
      <c r="AD64" s="94"/>
      <c r="AE64" s="94"/>
      <c r="AF64" s="94"/>
      <c r="AG64" s="94"/>
      <c r="AH64" s="94"/>
    </row>
    <row r="65" spans="1:34" x14ac:dyDescent="0.2">
      <c r="A65" s="94"/>
      <c r="B65" s="95"/>
      <c r="C65" s="94"/>
      <c r="D65" s="96"/>
      <c r="E65" s="96"/>
      <c r="F65" s="96"/>
      <c r="G65" s="96"/>
      <c r="H65" s="96"/>
      <c r="J65" s="34" t="s">
        <v>147</v>
      </c>
      <c r="K65" s="104">
        <f>E41</f>
        <v>57.243947676337314</v>
      </c>
      <c r="L65" s="104">
        <v>0</v>
      </c>
      <c r="M65" s="104">
        <v>0</v>
      </c>
      <c r="N65" s="104">
        <v>0</v>
      </c>
      <c r="O65" s="104">
        <v>0</v>
      </c>
      <c r="P65" s="104">
        <v>0</v>
      </c>
      <c r="Q65" s="104">
        <f>E42</f>
        <v>19.67912924673962</v>
      </c>
      <c r="R65" s="104">
        <f>E43</f>
        <v>23.076923076923077</v>
      </c>
      <c r="Y65" s="94"/>
      <c r="Z65" s="94"/>
      <c r="AA65" s="94"/>
      <c r="AB65" s="94"/>
      <c r="AC65" s="94"/>
      <c r="AD65" s="94"/>
      <c r="AE65" s="94"/>
      <c r="AF65" s="94"/>
      <c r="AG65" s="94"/>
      <c r="AH65" s="94"/>
    </row>
    <row r="66" spans="1:34" x14ac:dyDescent="0.2">
      <c r="A66" s="94"/>
      <c r="B66" s="95"/>
      <c r="C66" s="94"/>
      <c r="D66" s="96"/>
      <c r="E66" s="96"/>
      <c r="F66" s="96"/>
      <c r="G66" s="96"/>
      <c r="H66" s="96"/>
      <c r="Y66" s="94"/>
      <c r="Z66" s="94"/>
      <c r="AA66" s="94"/>
      <c r="AB66" s="94"/>
      <c r="AC66" s="94"/>
      <c r="AD66" s="94"/>
      <c r="AE66" s="94"/>
      <c r="AF66" s="94"/>
      <c r="AG66" s="94"/>
      <c r="AH66" s="94"/>
    </row>
    <row r="67" spans="1:34" x14ac:dyDescent="0.2">
      <c r="A67" s="94"/>
      <c r="B67" s="95"/>
      <c r="C67" s="94"/>
      <c r="D67" s="96"/>
      <c r="E67" s="96"/>
      <c r="F67" s="96"/>
      <c r="G67" s="96"/>
      <c r="H67" s="96"/>
      <c r="I67" s="96"/>
      <c r="J67" s="120"/>
      <c r="K67" s="108"/>
      <c r="L67" s="109"/>
      <c r="M67" s="109"/>
      <c r="N67" s="108"/>
      <c r="O67" s="108"/>
      <c r="P67" s="108"/>
      <c r="Q67" s="108"/>
      <c r="R67" s="108"/>
      <c r="Y67" s="94"/>
      <c r="Z67" s="94"/>
      <c r="AA67" s="94"/>
      <c r="AB67" s="94"/>
      <c r="AC67" s="94"/>
      <c r="AD67" s="94"/>
      <c r="AE67" s="94"/>
      <c r="AF67" s="94"/>
      <c r="AG67" s="94"/>
      <c r="AH67" s="94"/>
    </row>
    <row r="68" spans="1:34" x14ac:dyDescent="0.2">
      <c r="A68" s="94"/>
      <c r="B68" s="95"/>
      <c r="C68" s="94"/>
      <c r="D68" s="96"/>
      <c r="E68" s="96"/>
      <c r="F68" s="96"/>
      <c r="G68" s="96"/>
      <c r="H68" s="96"/>
      <c r="I68" s="96"/>
      <c r="J68" s="107"/>
      <c r="K68" s="107"/>
      <c r="L68" s="107"/>
      <c r="M68" s="96"/>
      <c r="N68" s="96"/>
      <c r="O68" s="96"/>
      <c r="P68" s="96"/>
      <c r="Q68" s="96"/>
      <c r="R68" s="96"/>
      <c r="Y68" s="94"/>
      <c r="Z68" s="94"/>
      <c r="AA68" s="94"/>
      <c r="AB68" s="94"/>
      <c r="AC68" s="94"/>
      <c r="AD68" s="94"/>
      <c r="AE68" s="94"/>
      <c r="AF68" s="94"/>
      <c r="AG68" s="94"/>
      <c r="AH68" s="94"/>
    </row>
    <row r="69" spans="1:34" x14ac:dyDescent="0.2">
      <c r="A69" s="94"/>
      <c r="B69" s="95"/>
      <c r="C69" s="94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Y69" s="94"/>
      <c r="Z69" s="94"/>
      <c r="AA69" s="94"/>
      <c r="AB69" s="94"/>
      <c r="AC69" s="94"/>
      <c r="AD69" s="94"/>
      <c r="AE69" s="94"/>
      <c r="AF69" s="94"/>
      <c r="AG69" s="94"/>
      <c r="AH69" s="94"/>
    </row>
    <row r="70" spans="1:34" x14ac:dyDescent="0.2">
      <c r="A70" s="94"/>
      <c r="B70" s="95"/>
      <c r="C70" s="94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Y70" s="94"/>
      <c r="Z70" s="94"/>
      <c r="AA70" s="94"/>
      <c r="AB70" s="94"/>
      <c r="AC70" s="94"/>
      <c r="AD70" s="94"/>
      <c r="AE70" s="94"/>
      <c r="AF70" s="94"/>
      <c r="AG70" s="94"/>
      <c r="AH70" s="94"/>
    </row>
    <row r="71" spans="1:34" ht="19" x14ac:dyDescent="0.25">
      <c r="A71" s="94"/>
      <c r="B71" s="95"/>
      <c r="C71" s="97"/>
      <c r="D71" s="96"/>
      <c r="E71" s="98" t="s">
        <v>193</v>
      </c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Y71" s="94"/>
      <c r="Z71" s="94"/>
      <c r="AA71" s="94"/>
      <c r="AB71" s="94"/>
      <c r="AC71" s="94"/>
      <c r="AD71" s="94"/>
      <c r="AE71" s="94"/>
      <c r="AF71" s="94"/>
      <c r="AG71" s="94"/>
      <c r="AH71" s="94"/>
    </row>
    <row r="72" spans="1:34" ht="9.75" customHeight="1" x14ac:dyDescent="0.25">
      <c r="A72" s="94"/>
      <c r="B72" s="95"/>
      <c r="C72" s="97"/>
      <c r="D72" s="96"/>
      <c r="E72" s="98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Y72" s="94"/>
      <c r="Z72" s="94"/>
      <c r="AA72" s="94"/>
      <c r="AB72" s="94"/>
      <c r="AC72" s="94"/>
      <c r="AD72" s="94"/>
      <c r="AE72" s="94"/>
      <c r="AF72" s="94"/>
      <c r="AG72" s="94"/>
      <c r="AH72" s="94"/>
    </row>
    <row r="73" spans="1:34" ht="15.75" customHeight="1" x14ac:dyDescent="0.2">
      <c r="A73" s="94"/>
      <c r="B73" s="99" t="s">
        <v>103</v>
      </c>
      <c r="C73" s="97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Y73" s="94"/>
      <c r="Z73" s="94"/>
      <c r="AA73" s="94"/>
      <c r="AB73" s="94"/>
      <c r="AC73" s="94"/>
      <c r="AD73" s="94"/>
      <c r="AE73" s="94"/>
      <c r="AF73" s="94"/>
      <c r="AG73" s="94"/>
      <c r="AH73" s="94"/>
    </row>
    <row r="74" spans="1:34" ht="15.75" customHeight="1" x14ac:dyDescent="0.2">
      <c r="A74" s="94"/>
      <c r="B74" s="94" t="s">
        <v>87</v>
      </c>
      <c r="C74" s="94" t="s">
        <v>104</v>
      </c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Y74" s="94"/>
      <c r="Z74" s="94"/>
      <c r="AA74" s="94"/>
      <c r="AB74" s="94"/>
      <c r="AC74" s="94"/>
      <c r="AD74" s="94"/>
      <c r="AE74" s="94"/>
      <c r="AF74" s="94"/>
      <c r="AG74" s="94"/>
      <c r="AH74" s="94"/>
    </row>
    <row r="75" spans="1:34" ht="15.75" customHeight="1" x14ac:dyDescent="0.2">
      <c r="A75" s="94"/>
      <c r="B75" s="100" t="s">
        <v>88</v>
      </c>
      <c r="C75" s="100" t="s">
        <v>113</v>
      </c>
      <c r="D75" s="96"/>
      <c r="E75" s="96"/>
      <c r="F75" s="96"/>
      <c r="G75" s="173" t="s">
        <v>16</v>
      </c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Y75" s="94"/>
      <c r="Z75" s="94"/>
      <c r="AA75" s="94"/>
      <c r="AB75" s="94"/>
      <c r="AC75" s="94"/>
      <c r="AD75" s="94"/>
      <c r="AE75" s="94"/>
      <c r="AF75" s="94"/>
      <c r="AG75" s="94"/>
      <c r="AH75" s="94"/>
    </row>
    <row r="76" spans="1:34" ht="15.75" customHeight="1" x14ac:dyDescent="0.2">
      <c r="A76" s="94"/>
      <c r="B76" s="94" t="s">
        <v>89</v>
      </c>
      <c r="C76" s="94" t="s">
        <v>114</v>
      </c>
      <c r="D76" s="96"/>
      <c r="E76" s="96"/>
      <c r="F76" s="96"/>
      <c r="G76" s="173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Y76" s="94"/>
      <c r="Z76" s="94"/>
      <c r="AA76" s="94"/>
      <c r="AB76" s="94"/>
      <c r="AC76" s="94"/>
      <c r="AD76" s="94"/>
      <c r="AE76" s="94"/>
      <c r="AF76" s="94"/>
      <c r="AG76" s="94"/>
      <c r="AH76" s="94"/>
    </row>
    <row r="77" spans="1:34" ht="15.75" customHeight="1" x14ac:dyDescent="0.2">
      <c r="A77" s="94"/>
      <c r="B77" s="94" t="s">
        <v>90</v>
      </c>
      <c r="C77" s="94" t="s">
        <v>106</v>
      </c>
      <c r="D77" s="96"/>
      <c r="E77" s="96"/>
      <c r="F77" s="96"/>
      <c r="G77" s="173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Y77" s="94"/>
      <c r="Z77" s="94"/>
      <c r="AA77" s="94"/>
      <c r="AB77" s="94"/>
      <c r="AC77" s="94"/>
      <c r="AD77" s="94"/>
      <c r="AE77" s="94"/>
      <c r="AF77" s="94"/>
      <c r="AG77" s="94"/>
      <c r="AH77" s="94"/>
    </row>
    <row r="78" spans="1:34" ht="15.75" customHeight="1" x14ac:dyDescent="0.2">
      <c r="A78" s="94"/>
      <c r="B78" s="100" t="s">
        <v>91</v>
      </c>
      <c r="C78" s="100" t="s">
        <v>105</v>
      </c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Y78" s="94"/>
      <c r="Z78" s="94"/>
      <c r="AA78" s="94"/>
      <c r="AB78" s="94"/>
      <c r="AC78" s="94"/>
      <c r="AD78" s="94"/>
      <c r="AE78" s="94"/>
      <c r="AF78" s="94"/>
      <c r="AG78" s="94"/>
      <c r="AH78" s="94"/>
    </row>
    <row r="79" spans="1:34" ht="9.75" customHeight="1" x14ac:dyDescent="0.2">
      <c r="A79" s="94"/>
      <c r="B79" s="95"/>
      <c r="C79" s="97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Y79" s="94"/>
      <c r="Z79" s="94"/>
      <c r="AA79" s="94"/>
      <c r="AB79" s="94"/>
      <c r="AC79" s="94"/>
      <c r="AD79" s="94"/>
      <c r="AE79" s="94"/>
      <c r="AF79" s="94"/>
      <c r="AG79" s="94"/>
      <c r="AH79" s="94"/>
    </row>
    <row r="80" spans="1:34" ht="19" x14ac:dyDescent="0.25">
      <c r="A80" s="94"/>
      <c r="B80" s="95"/>
      <c r="C80" s="97"/>
      <c r="D80" s="96"/>
      <c r="E80" s="98" t="s">
        <v>194</v>
      </c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Y80" s="94"/>
      <c r="Z80" s="94"/>
      <c r="AA80" s="94"/>
      <c r="AB80" s="94"/>
      <c r="AC80" s="94"/>
      <c r="AD80" s="94"/>
      <c r="AE80" s="94"/>
      <c r="AF80" s="94"/>
      <c r="AG80" s="94"/>
      <c r="AH80" s="94"/>
    </row>
    <row r="81" spans="1:34" x14ac:dyDescent="0.2">
      <c r="A81" s="94"/>
      <c r="B81" s="95"/>
      <c r="C81" s="94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Y81" s="94"/>
      <c r="Z81" s="94"/>
      <c r="AA81" s="94"/>
      <c r="AB81" s="94"/>
      <c r="AC81" s="94"/>
      <c r="AD81" s="94"/>
      <c r="AE81" s="94"/>
      <c r="AF81" s="94"/>
      <c r="AG81" s="94"/>
      <c r="AH81" s="94"/>
    </row>
    <row r="82" spans="1:34" x14ac:dyDescent="0.2">
      <c r="A82" s="94"/>
      <c r="B82" s="95"/>
      <c r="C82" s="94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Y82" s="94"/>
      <c r="Z82" s="94"/>
      <c r="AA82" s="94"/>
      <c r="AB82" s="94"/>
      <c r="AC82" s="94"/>
      <c r="AD82" s="94"/>
      <c r="AE82" s="94"/>
      <c r="AF82" s="94"/>
      <c r="AG82" s="94"/>
      <c r="AH82" s="94"/>
    </row>
    <row r="83" spans="1:34" x14ac:dyDescent="0.2">
      <c r="A83" s="94"/>
      <c r="B83" s="95"/>
      <c r="C83" s="94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106"/>
      <c r="Q83" s="96"/>
      <c r="R83" s="96"/>
      <c r="Y83" s="94"/>
      <c r="Z83" s="94"/>
      <c r="AA83" s="94"/>
      <c r="AB83" s="94"/>
      <c r="AC83" s="94"/>
      <c r="AD83" s="94"/>
      <c r="AE83" s="94"/>
      <c r="AF83" s="94"/>
      <c r="AG83" s="94"/>
      <c r="AH83" s="94"/>
    </row>
    <row r="84" spans="1:34" ht="19" x14ac:dyDescent="0.25">
      <c r="A84" s="94"/>
      <c r="B84" s="95"/>
      <c r="C84" s="94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106"/>
      <c r="Q84" s="96"/>
      <c r="R84" s="96"/>
      <c r="Y84" s="94"/>
      <c r="Z84" s="95"/>
      <c r="AA84" s="97"/>
      <c r="AB84" s="162"/>
      <c r="AC84" s="98" t="s">
        <v>193</v>
      </c>
      <c r="AD84" s="162"/>
      <c r="AE84" s="162"/>
      <c r="AF84" s="94"/>
      <c r="AG84" s="94"/>
      <c r="AH84" s="94"/>
    </row>
    <row r="85" spans="1:34" ht="19" x14ac:dyDescent="0.25">
      <c r="A85" s="94"/>
      <c r="B85" s="95"/>
      <c r="C85" s="94"/>
      <c r="D85" s="96"/>
      <c r="E85" s="96"/>
      <c r="F85" s="96"/>
      <c r="G85" s="96"/>
      <c r="H85" s="96"/>
      <c r="I85" s="167"/>
      <c r="J85" s="167"/>
      <c r="K85" s="167"/>
      <c r="L85" s="167"/>
      <c r="M85" s="167"/>
      <c r="N85" s="167"/>
      <c r="O85" s="167"/>
      <c r="P85" s="106"/>
      <c r="Q85" s="167"/>
      <c r="R85" s="167"/>
      <c r="Y85" s="94"/>
      <c r="Z85" s="95"/>
      <c r="AA85" s="97"/>
      <c r="AB85" s="162"/>
      <c r="AC85" s="98"/>
      <c r="AD85" s="162"/>
      <c r="AE85" s="162"/>
      <c r="AF85" s="94"/>
      <c r="AG85" s="94"/>
      <c r="AH85" s="94"/>
    </row>
    <row r="86" spans="1:34" x14ac:dyDescent="0.2">
      <c r="A86" s="94"/>
      <c r="B86" s="95"/>
      <c r="C86" s="94"/>
      <c r="D86" s="96"/>
      <c r="E86" s="96"/>
      <c r="F86" s="96"/>
      <c r="G86" s="96"/>
      <c r="H86" s="96"/>
      <c r="I86" s="167"/>
      <c r="J86" s="167"/>
      <c r="K86" s="167"/>
      <c r="L86" s="167"/>
      <c r="M86" s="167"/>
      <c r="N86" s="167"/>
      <c r="O86" s="167"/>
      <c r="P86" s="167"/>
      <c r="Q86" s="167"/>
      <c r="R86" s="167"/>
      <c r="Y86" s="94"/>
      <c r="Z86" s="99" t="s">
        <v>103</v>
      </c>
      <c r="AA86" s="97"/>
      <c r="AB86" s="162"/>
      <c r="AC86" s="162"/>
      <c r="AD86" s="162"/>
      <c r="AE86" s="162"/>
      <c r="AF86" s="94"/>
      <c r="AG86" s="94"/>
      <c r="AH86" s="94"/>
    </row>
    <row r="87" spans="1:34" x14ac:dyDescent="0.2">
      <c r="A87" s="94"/>
      <c r="B87" s="95"/>
      <c r="C87" s="94"/>
      <c r="D87" s="96"/>
      <c r="E87" s="96"/>
      <c r="F87" s="96"/>
      <c r="G87" s="96"/>
      <c r="H87" s="96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Y87" s="94"/>
      <c r="Z87" s="94" t="s">
        <v>87</v>
      </c>
      <c r="AA87" s="94" t="s">
        <v>191</v>
      </c>
      <c r="AB87" s="162"/>
      <c r="AC87" s="162"/>
      <c r="AD87" s="162"/>
      <c r="AE87" s="162"/>
      <c r="AF87" s="94"/>
      <c r="AG87" s="94"/>
      <c r="AH87" s="94"/>
    </row>
    <row r="88" spans="1:34" ht="15" customHeight="1" x14ac:dyDescent="0.2">
      <c r="A88" s="94"/>
      <c r="B88" s="95"/>
      <c r="C88" s="94"/>
      <c r="D88" s="96"/>
      <c r="E88" s="96"/>
      <c r="F88" s="96"/>
      <c r="G88" s="96"/>
      <c r="H88" s="96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Y88" s="94"/>
      <c r="Z88" s="100" t="s">
        <v>88</v>
      </c>
      <c r="AA88" s="100" t="s">
        <v>113</v>
      </c>
      <c r="AB88" s="162"/>
      <c r="AC88" s="162"/>
      <c r="AD88" s="162"/>
      <c r="AE88" s="94"/>
      <c r="AF88" s="173" t="s">
        <v>16</v>
      </c>
      <c r="AG88" s="173"/>
      <c r="AH88" s="94"/>
    </row>
    <row r="89" spans="1:34" ht="15" customHeight="1" x14ac:dyDescent="0.2">
      <c r="A89" s="94"/>
      <c r="B89" s="95"/>
      <c r="C89" s="94"/>
      <c r="D89" s="96"/>
      <c r="E89" s="96"/>
      <c r="F89" s="96"/>
      <c r="G89" s="96"/>
      <c r="H89" s="96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Y89" s="94"/>
      <c r="Z89" s="94" t="s">
        <v>89</v>
      </c>
      <c r="AA89" s="94" t="s">
        <v>114</v>
      </c>
      <c r="AB89" s="162"/>
      <c r="AC89" s="162"/>
      <c r="AD89" s="162"/>
      <c r="AE89" s="172"/>
      <c r="AF89" s="173"/>
      <c r="AG89" s="173"/>
      <c r="AH89" s="94"/>
    </row>
    <row r="90" spans="1:34" ht="15" customHeight="1" x14ac:dyDescent="0.25">
      <c r="A90" s="94"/>
      <c r="B90" s="95"/>
      <c r="C90" s="94"/>
      <c r="D90" s="96"/>
      <c r="E90" s="96"/>
      <c r="F90" s="96"/>
      <c r="G90" s="96"/>
      <c r="H90" s="96"/>
      <c r="I90" s="167"/>
      <c r="J90" s="167"/>
      <c r="K90" s="167"/>
      <c r="L90" s="167"/>
      <c r="M90" s="167"/>
      <c r="N90" s="98" t="s">
        <v>193</v>
      </c>
      <c r="O90" s="167"/>
      <c r="P90" s="167"/>
      <c r="Q90" s="167"/>
      <c r="R90" s="167"/>
      <c r="Y90" s="94"/>
      <c r="Z90" s="94" t="s">
        <v>90</v>
      </c>
      <c r="AA90" s="100" t="s">
        <v>106</v>
      </c>
      <c r="AB90" s="162"/>
      <c r="AC90" s="162"/>
      <c r="AD90" s="162"/>
      <c r="AE90" s="172"/>
      <c r="AF90" s="173"/>
      <c r="AG90" s="173"/>
      <c r="AH90" s="94"/>
    </row>
    <row r="91" spans="1:34" x14ac:dyDescent="0.2">
      <c r="A91" s="94"/>
      <c r="B91" s="95"/>
      <c r="C91" s="94"/>
      <c r="D91" s="96"/>
      <c r="E91" s="96"/>
      <c r="F91" s="96"/>
      <c r="G91" s="96"/>
      <c r="H91" s="96"/>
      <c r="I91" s="167"/>
      <c r="J91" s="167"/>
      <c r="K91" s="167"/>
      <c r="L91" s="167"/>
      <c r="M91" s="167"/>
      <c r="N91" s="105"/>
      <c r="O91" s="167"/>
      <c r="P91" s="167"/>
      <c r="Q91" s="167"/>
      <c r="R91" s="167"/>
      <c r="Y91" s="94"/>
      <c r="Z91" s="100" t="s">
        <v>91</v>
      </c>
      <c r="AA91" s="100" t="s">
        <v>113</v>
      </c>
      <c r="AB91" s="162"/>
      <c r="AC91" s="162"/>
      <c r="AD91" s="162"/>
      <c r="AE91" s="162"/>
      <c r="AF91" s="94"/>
      <c r="AG91" s="94"/>
      <c r="AH91" s="94"/>
    </row>
    <row r="92" spans="1:34" ht="19" x14ac:dyDescent="0.25">
      <c r="A92" s="94"/>
      <c r="B92" s="95"/>
      <c r="C92" s="94"/>
      <c r="D92" s="96"/>
      <c r="E92" s="96"/>
      <c r="F92" s="96"/>
      <c r="G92" s="96"/>
      <c r="H92" s="96"/>
      <c r="I92" s="167"/>
      <c r="J92" s="167"/>
      <c r="K92" s="167"/>
      <c r="L92" s="167"/>
      <c r="M92" s="167"/>
      <c r="N92" s="98" t="s">
        <v>194</v>
      </c>
      <c r="O92" s="167"/>
      <c r="P92" s="167"/>
      <c r="Q92" s="167"/>
      <c r="R92" s="167"/>
      <c r="Y92" s="94"/>
      <c r="Z92" s="95"/>
      <c r="AA92" s="97"/>
      <c r="AB92" s="162"/>
      <c r="AC92" s="162"/>
      <c r="AD92" s="162"/>
      <c r="AE92" s="162"/>
      <c r="AF92" s="94"/>
      <c r="AG92" s="94"/>
      <c r="AH92" s="94"/>
    </row>
    <row r="93" spans="1:34" ht="19" x14ac:dyDescent="0.25">
      <c r="A93" s="94"/>
      <c r="B93" s="95"/>
      <c r="C93" s="94"/>
      <c r="D93" s="96"/>
      <c r="E93" s="96"/>
      <c r="F93" s="96"/>
      <c r="G93" s="96"/>
      <c r="H93" s="96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Y93" s="94"/>
      <c r="Z93" s="95"/>
      <c r="AA93" s="97"/>
      <c r="AB93" s="162"/>
      <c r="AC93" s="98" t="s">
        <v>194</v>
      </c>
      <c r="AD93" s="162"/>
      <c r="AE93" s="162"/>
      <c r="AF93" s="94"/>
      <c r="AG93" s="94"/>
      <c r="AH93" s="94"/>
    </row>
    <row r="94" spans="1:34" x14ac:dyDescent="0.2">
      <c r="A94" s="94"/>
      <c r="B94" s="95"/>
      <c r="C94" s="94"/>
      <c r="D94" s="96"/>
      <c r="E94" s="96"/>
      <c r="F94" s="96"/>
      <c r="G94" s="96"/>
      <c r="H94" s="96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Y94" s="94"/>
      <c r="Z94" s="94"/>
      <c r="AA94" s="94"/>
      <c r="AB94" s="94"/>
      <c r="AC94" s="94"/>
      <c r="AD94" s="94"/>
      <c r="AE94" s="94"/>
      <c r="AF94" s="94"/>
      <c r="AG94" s="94"/>
      <c r="AH94" s="94"/>
    </row>
    <row r="95" spans="1:34" x14ac:dyDescent="0.2">
      <c r="A95" s="94"/>
      <c r="B95" s="95"/>
      <c r="C95" s="94"/>
      <c r="D95" s="96"/>
      <c r="E95" s="96"/>
      <c r="F95" s="96"/>
      <c r="G95" s="96"/>
      <c r="H95" s="96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Y95" s="94"/>
      <c r="Z95" s="94"/>
      <c r="AA95" s="94"/>
      <c r="AB95" s="94"/>
      <c r="AC95" s="94"/>
      <c r="AD95" s="94"/>
      <c r="AE95" s="94"/>
      <c r="AF95" s="94"/>
      <c r="AG95" s="94"/>
      <c r="AH95" s="94"/>
    </row>
    <row r="96" spans="1:34" x14ac:dyDescent="0.2">
      <c r="A96" s="94"/>
      <c r="B96" s="95"/>
      <c r="C96" s="94"/>
      <c r="D96" s="96"/>
      <c r="E96" s="96"/>
      <c r="F96" s="96"/>
      <c r="G96" s="96"/>
      <c r="H96" s="96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Y96" s="94"/>
      <c r="Z96" s="94"/>
      <c r="AA96" s="94"/>
      <c r="AB96" s="94"/>
      <c r="AC96" s="94"/>
      <c r="AD96" s="94"/>
      <c r="AE96" s="94"/>
      <c r="AF96" s="94"/>
      <c r="AG96" s="94"/>
      <c r="AH96" s="94"/>
    </row>
    <row r="97" spans="1:34" x14ac:dyDescent="0.2">
      <c r="A97" s="94"/>
      <c r="B97" s="95"/>
      <c r="C97" s="94"/>
      <c r="D97" s="96"/>
      <c r="E97" s="96"/>
      <c r="F97" s="96"/>
      <c r="G97" s="96"/>
      <c r="H97" s="96"/>
      <c r="I97" s="167"/>
      <c r="J97" s="167"/>
      <c r="K97" s="167"/>
      <c r="L97" s="167"/>
      <c r="M97" s="167"/>
      <c r="N97" s="167"/>
      <c r="O97" s="167"/>
      <c r="P97" s="167"/>
      <c r="Q97" s="167"/>
      <c r="R97" s="167"/>
      <c r="Y97" s="94"/>
      <c r="Z97" s="94"/>
      <c r="AA97" s="94"/>
      <c r="AB97" s="94"/>
      <c r="AC97" s="94"/>
      <c r="AD97" s="94"/>
      <c r="AE97" s="94"/>
      <c r="AF97" s="94"/>
      <c r="AG97" s="94"/>
      <c r="AH97" s="94"/>
    </row>
    <row r="98" spans="1:34" x14ac:dyDescent="0.2">
      <c r="A98" s="94"/>
      <c r="B98" s="95"/>
      <c r="C98" s="94"/>
      <c r="D98" s="96"/>
      <c r="E98" s="96"/>
      <c r="F98" s="96"/>
      <c r="G98" s="96"/>
      <c r="H98" s="96"/>
      <c r="I98" s="167"/>
      <c r="J98" s="167"/>
      <c r="K98" s="167"/>
      <c r="L98" s="167"/>
      <c r="M98" s="167"/>
      <c r="N98" s="167"/>
      <c r="O98" s="167"/>
      <c r="P98" s="167"/>
      <c r="Q98" s="167"/>
      <c r="R98" s="167"/>
      <c r="Y98" s="94"/>
      <c r="Z98" s="94"/>
      <c r="AA98" s="94"/>
      <c r="AB98" s="94"/>
      <c r="AC98" s="94"/>
      <c r="AD98" s="94"/>
      <c r="AE98" s="94"/>
      <c r="AF98" s="94"/>
      <c r="AG98" s="94"/>
      <c r="AH98" s="94"/>
    </row>
    <row r="99" spans="1:34" x14ac:dyDescent="0.2">
      <c r="A99" s="94"/>
      <c r="B99" s="95"/>
      <c r="C99" s="94"/>
      <c r="D99" s="96"/>
      <c r="E99" s="96"/>
      <c r="F99" s="96"/>
      <c r="G99" s="96"/>
      <c r="H99" s="96"/>
      <c r="I99" s="167"/>
      <c r="J99" s="167"/>
      <c r="K99" s="167"/>
      <c r="L99" s="167"/>
      <c r="M99" s="167"/>
      <c r="N99" s="167"/>
      <c r="O99" s="167"/>
      <c r="P99" s="167"/>
      <c r="Q99" s="167"/>
      <c r="R99" s="167"/>
      <c r="Y99" s="94"/>
      <c r="Z99" s="94"/>
      <c r="AA99" s="94"/>
      <c r="AB99" s="94"/>
      <c r="AC99" s="94"/>
      <c r="AD99" s="94"/>
      <c r="AE99" s="94"/>
      <c r="AF99" s="94"/>
      <c r="AG99" s="94"/>
      <c r="AH99" s="94"/>
    </row>
    <row r="100" spans="1:34" x14ac:dyDescent="0.2">
      <c r="A100" s="94"/>
      <c r="B100" s="95"/>
      <c r="C100" s="94"/>
      <c r="D100" s="96"/>
      <c r="E100" s="96"/>
      <c r="F100" s="96"/>
      <c r="G100" s="96"/>
      <c r="H100" s="96"/>
      <c r="I100" s="167"/>
      <c r="J100" s="167"/>
      <c r="K100" s="167"/>
      <c r="L100" s="167"/>
      <c r="M100" s="167"/>
      <c r="N100" s="167"/>
      <c r="O100" s="167"/>
      <c r="P100" s="167"/>
      <c r="Q100" s="167"/>
      <c r="R100" s="167"/>
      <c r="Y100" s="94"/>
      <c r="Z100" s="94"/>
      <c r="AA100" s="94"/>
      <c r="AB100" s="94"/>
      <c r="AC100" s="94"/>
      <c r="AD100" s="94"/>
      <c r="AE100" s="94"/>
      <c r="AF100" s="94"/>
      <c r="AG100" s="94"/>
      <c r="AH100" s="94"/>
    </row>
    <row r="101" spans="1:34" x14ac:dyDescent="0.2">
      <c r="A101" s="94"/>
      <c r="B101" s="95"/>
      <c r="C101" s="94"/>
      <c r="D101" s="96"/>
      <c r="E101" s="96"/>
      <c r="F101" s="96"/>
      <c r="G101" s="96"/>
      <c r="H101" s="96"/>
      <c r="I101" s="167"/>
      <c r="J101" s="167"/>
      <c r="K101" s="167"/>
      <c r="L101" s="167"/>
      <c r="M101" s="167"/>
      <c r="N101" s="167"/>
      <c r="O101" s="167"/>
      <c r="P101" s="167"/>
      <c r="Q101" s="167"/>
      <c r="R101" s="167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</row>
    <row r="102" spans="1:34" x14ac:dyDescent="0.2">
      <c r="A102" s="94"/>
      <c r="B102" s="95"/>
      <c r="C102" s="94"/>
      <c r="D102" s="96"/>
      <c r="E102" s="96"/>
      <c r="F102" s="96"/>
      <c r="G102" s="96"/>
      <c r="H102" s="96"/>
      <c r="I102" s="167"/>
      <c r="J102" s="167"/>
      <c r="K102" s="167"/>
      <c r="L102" s="167"/>
      <c r="M102" s="167"/>
      <c r="N102" s="167"/>
      <c r="O102" s="167"/>
      <c r="P102" s="167"/>
      <c r="Q102" s="167"/>
      <c r="R102" s="167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</row>
    <row r="103" spans="1:34" x14ac:dyDescent="0.2">
      <c r="A103" s="94"/>
      <c r="B103" s="95"/>
      <c r="C103" s="94"/>
      <c r="D103" s="96"/>
      <c r="E103" s="96"/>
      <c r="F103" s="96"/>
      <c r="G103" s="96"/>
      <c r="H103" s="96"/>
      <c r="I103" s="167"/>
      <c r="J103" s="167"/>
      <c r="K103" s="167"/>
      <c r="L103" s="167"/>
      <c r="M103" s="167"/>
      <c r="N103" s="167"/>
      <c r="O103" s="167"/>
      <c r="P103" s="167"/>
      <c r="Q103" s="167"/>
      <c r="R103" s="167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</row>
    <row r="104" spans="1:34" x14ac:dyDescent="0.2">
      <c r="A104" s="94"/>
      <c r="B104" s="95"/>
      <c r="C104" s="94"/>
      <c r="D104" s="96"/>
      <c r="E104" s="96"/>
      <c r="F104" s="96"/>
      <c r="G104" s="96"/>
      <c r="H104" s="96"/>
      <c r="I104" s="167"/>
      <c r="J104" s="167"/>
      <c r="K104" s="167"/>
      <c r="L104" s="167"/>
      <c r="M104" s="167"/>
      <c r="N104" s="167"/>
      <c r="O104" s="167"/>
      <c r="P104" s="167"/>
      <c r="Q104" s="167"/>
      <c r="R104" s="167"/>
      <c r="Y104" s="94"/>
      <c r="Z104" s="94"/>
      <c r="AA104" s="94"/>
      <c r="AB104" s="94"/>
      <c r="AC104" s="94"/>
      <c r="AD104" s="94"/>
      <c r="AE104" s="94"/>
      <c r="AF104" s="94"/>
      <c r="AG104" s="94"/>
      <c r="AH104" s="94"/>
    </row>
    <row r="105" spans="1:34" x14ac:dyDescent="0.2">
      <c r="I105" s="167"/>
      <c r="J105" s="167"/>
      <c r="K105" s="167"/>
      <c r="L105" s="167"/>
      <c r="M105" s="167"/>
      <c r="N105" s="167"/>
      <c r="O105" s="167"/>
      <c r="P105" s="167"/>
      <c r="Q105" s="167"/>
      <c r="R105" s="167"/>
      <c r="Y105" s="94"/>
      <c r="Z105" s="94"/>
      <c r="AA105" s="94"/>
      <c r="AB105" s="94"/>
      <c r="AC105" s="94"/>
      <c r="AD105" s="94"/>
      <c r="AE105" s="94"/>
      <c r="AF105" s="94"/>
      <c r="AG105" s="94"/>
      <c r="AH105" s="94"/>
    </row>
    <row r="106" spans="1:34" x14ac:dyDescent="0.2">
      <c r="I106" s="167"/>
      <c r="J106" s="167"/>
      <c r="K106" s="167"/>
      <c r="L106" s="167"/>
      <c r="M106" s="167"/>
      <c r="N106" s="167"/>
      <c r="O106" s="167"/>
      <c r="P106" s="167"/>
      <c r="Q106" s="167"/>
      <c r="R106" s="167"/>
      <c r="Y106" s="94"/>
      <c r="Z106" s="94"/>
      <c r="AA106" s="94"/>
      <c r="AB106" s="94"/>
      <c r="AC106" s="94"/>
      <c r="AD106" s="94"/>
      <c r="AE106" s="94"/>
      <c r="AF106" s="94"/>
      <c r="AG106" s="94"/>
      <c r="AH106" s="94"/>
    </row>
    <row r="107" spans="1:34" x14ac:dyDescent="0.2">
      <c r="I107" s="167"/>
      <c r="J107" s="167"/>
      <c r="K107" s="167"/>
      <c r="L107" s="167"/>
      <c r="M107" s="167"/>
      <c r="N107" s="167"/>
      <c r="O107" s="167"/>
      <c r="P107" s="167"/>
      <c r="Q107" s="167"/>
      <c r="R107" s="167"/>
      <c r="Y107" s="94"/>
      <c r="Z107" s="94"/>
      <c r="AA107" s="94"/>
      <c r="AB107" s="94"/>
      <c r="AC107" s="94"/>
      <c r="AD107" s="94"/>
      <c r="AE107" s="94"/>
      <c r="AF107" s="94"/>
      <c r="AG107" s="94"/>
      <c r="AH107" s="94"/>
    </row>
    <row r="108" spans="1:34" ht="18" thickBot="1" x14ac:dyDescent="0.25">
      <c r="B108" s="32" t="s">
        <v>187</v>
      </c>
      <c r="C108" s="33" t="s">
        <v>40</v>
      </c>
      <c r="D108" s="33" t="s">
        <v>42</v>
      </c>
      <c r="E108" s="33" t="s">
        <v>83</v>
      </c>
      <c r="F108" s="33" t="s">
        <v>45</v>
      </c>
      <c r="G108" s="33" t="s">
        <v>47</v>
      </c>
      <c r="H108" s="33" t="s">
        <v>85</v>
      </c>
      <c r="I108" s="167"/>
      <c r="J108" s="167"/>
      <c r="K108" s="167"/>
      <c r="L108" s="167"/>
      <c r="M108" s="167"/>
      <c r="N108" s="167"/>
      <c r="O108" s="167"/>
      <c r="P108" s="167"/>
      <c r="Q108" s="167"/>
      <c r="R108" s="167"/>
      <c r="Y108" s="94"/>
      <c r="Z108" s="94"/>
      <c r="AA108" s="94"/>
      <c r="AB108" s="94"/>
      <c r="AC108" s="94"/>
      <c r="AD108" s="94"/>
      <c r="AE108" s="94"/>
      <c r="AF108" s="94"/>
      <c r="AG108" s="94"/>
      <c r="AH108" s="94"/>
    </row>
    <row r="109" spans="1:34" ht="16" thickTop="1" x14ac:dyDescent="0.2">
      <c r="B109" s="28" t="s">
        <v>17</v>
      </c>
      <c r="C109" s="163">
        <f>K14</f>
        <v>1.8776856324184781E-2</v>
      </c>
      <c r="D109" s="163">
        <f>M14</f>
        <v>2.412387664092408E-3</v>
      </c>
      <c r="E109" s="163">
        <f>O14</f>
        <v>2.6626230028573283E-3</v>
      </c>
      <c r="F109" s="163">
        <f>P14</f>
        <v>2.5451931187879705E-2</v>
      </c>
      <c r="G109" s="163">
        <f>R14</f>
        <v>2.3213964915965303E-3</v>
      </c>
      <c r="H109" s="163">
        <f>V14</f>
        <v>5.9564884626846001E-3</v>
      </c>
      <c r="I109" s="167"/>
      <c r="J109" s="167"/>
      <c r="K109" s="167"/>
      <c r="L109" s="167"/>
      <c r="M109" s="167"/>
      <c r="N109" s="167"/>
      <c r="O109" s="167"/>
      <c r="P109" s="167"/>
      <c r="Q109" s="167"/>
      <c r="R109" s="167"/>
      <c r="Y109" s="94"/>
      <c r="Z109" s="94"/>
      <c r="AA109" s="94"/>
      <c r="AB109" s="94"/>
      <c r="AC109" s="94"/>
      <c r="AD109" s="94"/>
      <c r="AE109" s="94"/>
      <c r="AF109" s="94"/>
      <c r="AG109" s="94"/>
      <c r="AH109" s="94"/>
    </row>
    <row r="110" spans="1:34" x14ac:dyDescent="0.2">
      <c r="B110" s="28" t="s">
        <v>18</v>
      </c>
      <c r="C110" s="163">
        <f>K22</f>
        <v>1.8468436963158471E-2</v>
      </c>
      <c r="D110" s="163">
        <f>M22</f>
        <v>3.467848836307652E-3</v>
      </c>
      <c r="E110" s="163">
        <f>O22</f>
        <v>2.4601460943349312E-3</v>
      </c>
      <c r="F110" s="163">
        <f>P22</f>
        <v>2.2617365264422831E-2</v>
      </c>
      <c r="G110" s="163">
        <f>R22</f>
        <v>2.8775013438966128E-3</v>
      </c>
      <c r="H110" s="163">
        <f>V22</f>
        <v>8.6548442504310805E-3</v>
      </c>
      <c r="I110" s="167"/>
      <c r="J110" s="167"/>
      <c r="K110" s="167"/>
      <c r="L110" s="167"/>
      <c r="M110" s="167"/>
      <c r="N110" s="167"/>
      <c r="O110" s="167"/>
      <c r="P110" s="167"/>
      <c r="Q110" s="167"/>
      <c r="R110" s="167"/>
      <c r="Y110" s="94"/>
      <c r="Z110" s="94"/>
      <c r="AA110" s="94"/>
      <c r="AB110" s="94"/>
      <c r="AC110" s="94"/>
      <c r="AD110" s="94"/>
      <c r="AE110" s="94"/>
      <c r="AF110" s="94"/>
      <c r="AG110" s="94"/>
      <c r="AH110" s="94"/>
    </row>
    <row r="111" spans="1:34" x14ac:dyDescent="0.2">
      <c r="B111" s="28" t="s">
        <v>19</v>
      </c>
      <c r="C111" s="163">
        <f>K30</f>
        <v>1.6179298019377498E-2</v>
      </c>
      <c r="D111" s="163">
        <f>M30</f>
        <v>3.9281102489596171E-3</v>
      </c>
      <c r="E111" s="163">
        <f>O30</f>
        <v>1.7642971389575347E-3</v>
      </c>
      <c r="F111" s="163">
        <f>P30</f>
        <v>1.7311527404465205E-2</v>
      </c>
      <c r="G111" s="163">
        <f>R30</f>
        <v>4.5153639378466229E-3</v>
      </c>
      <c r="H111" s="163">
        <f>V30</f>
        <v>1.0843647629038481E-2</v>
      </c>
      <c r="I111" s="167"/>
      <c r="J111" s="167"/>
      <c r="K111" s="167"/>
      <c r="L111" s="167"/>
      <c r="M111" s="167"/>
      <c r="N111" s="167"/>
      <c r="O111" s="167"/>
      <c r="P111" s="167"/>
      <c r="Q111" s="167"/>
      <c r="R111" s="167"/>
      <c r="Y111" s="94"/>
      <c r="Z111" s="94"/>
      <c r="AA111" s="94"/>
      <c r="AB111" s="94"/>
      <c r="AC111" s="94"/>
      <c r="AD111" s="94"/>
      <c r="AE111" s="94"/>
      <c r="AF111" s="94"/>
      <c r="AG111" s="94"/>
      <c r="AH111" s="94"/>
    </row>
    <row r="112" spans="1:34" x14ac:dyDescent="0.2">
      <c r="B112" s="34" t="s">
        <v>20</v>
      </c>
      <c r="C112" s="164">
        <f>K39</f>
        <v>1.686938333670707E-2</v>
      </c>
      <c r="D112" s="164">
        <f>M39</f>
        <v>5.4634317994261047E-3</v>
      </c>
      <c r="E112" s="164">
        <f>O39</f>
        <v>1.8611201031001358E-3</v>
      </c>
      <c r="F112" s="164">
        <f>P39</f>
        <v>1.8082345103706231E-2</v>
      </c>
      <c r="G112" s="164">
        <f>R39</f>
        <v>4.0105870742682247E-3</v>
      </c>
      <c r="H112" s="164">
        <f>V39</f>
        <v>1.0634920749279311E-2</v>
      </c>
      <c r="I112" s="167"/>
      <c r="J112" s="167"/>
      <c r="K112" s="167"/>
      <c r="L112" s="167"/>
      <c r="M112" s="167"/>
      <c r="N112" s="167"/>
      <c r="O112" s="167"/>
      <c r="P112" s="167"/>
      <c r="Q112" s="167"/>
      <c r="R112" s="167"/>
      <c r="Y112" s="94"/>
      <c r="Z112" s="94"/>
      <c r="AA112" s="94"/>
      <c r="AB112" s="94"/>
      <c r="AC112" s="94"/>
      <c r="AD112" s="94"/>
      <c r="AE112" s="94"/>
      <c r="AF112" s="94"/>
      <c r="AG112" s="94"/>
      <c r="AH112" s="94"/>
    </row>
    <row r="113" spans="2:34" x14ac:dyDescent="0.2">
      <c r="B113" s="126" t="s">
        <v>147</v>
      </c>
      <c r="C113" s="164">
        <f>K44</f>
        <v>1.6812172593040707E-2</v>
      </c>
      <c r="D113" s="164">
        <f>M44</f>
        <v>4.0354658097386835E-3</v>
      </c>
      <c r="E113" s="164">
        <f>O44</f>
        <v>2.3965565101109654E-3</v>
      </c>
      <c r="F113" s="164">
        <f>P44</f>
        <v>2.3613467036426881E-2</v>
      </c>
      <c r="G113" s="164">
        <f>R44</f>
        <v>1.8451553866798967E-3</v>
      </c>
      <c r="H113" s="164">
        <f>V44</f>
        <v>0</v>
      </c>
      <c r="I113" s="167"/>
      <c r="J113" s="167"/>
      <c r="K113" s="167"/>
      <c r="L113" s="167"/>
      <c r="M113" s="167"/>
      <c r="N113" s="167"/>
      <c r="O113" s="167"/>
      <c r="P113" s="167"/>
      <c r="Q113" s="167"/>
      <c r="R113" s="167"/>
      <c r="Y113" s="94"/>
      <c r="Z113" s="94"/>
      <c r="AA113" s="94"/>
      <c r="AB113" s="94"/>
      <c r="AC113" s="94"/>
      <c r="AD113" s="94"/>
      <c r="AE113" s="94"/>
      <c r="AF113" s="94"/>
      <c r="AG113" s="94"/>
      <c r="AH113" s="94"/>
    </row>
    <row r="114" spans="2:34" x14ac:dyDescent="0.2">
      <c r="B114" s="2"/>
      <c r="C114" s="2"/>
      <c r="I114" s="167"/>
      <c r="J114" s="167"/>
      <c r="K114" s="167"/>
      <c r="L114" s="167"/>
      <c r="M114" s="167"/>
      <c r="N114" s="167"/>
      <c r="O114" s="167"/>
      <c r="P114" s="167"/>
      <c r="Q114" s="167"/>
      <c r="R114" s="167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</row>
    <row r="115" spans="2:34" ht="18" thickBot="1" x14ac:dyDescent="0.25">
      <c r="B115" s="32" t="s">
        <v>187</v>
      </c>
      <c r="C115" s="33" t="s">
        <v>40</v>
      </c>
      <c r="D115" s="33" t="s">
        <v>42</v>
      </c>
      <c r="E115" s="33" t="s">
        <v>83</v>
      </c>
      <c r="F115" s="33" t="s">
        <v>45</v>
      </c>
      <c r="G115" s="33" t="s">
        <v>47</v>
      </c>
      <c r="H115" s="33" t="s">
        <v>85</v>
      </c>
      <c r="I115" s="167"/>
      <c r="J115" s="167"/>
      <c r="K115" s="167"/>
      <c r="L115" s="167"/>
      <c r="M115" s="167"/>
      <c r="N115" s="167"/>
      <c r="O115" s="167"/>
      <c r="P115" s="167"/>
      <c r="Q115" s="167"/>
      <c r="R115" s="167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</row>
    <row r="116" spans="2:34" ht="16" thickTop="1" x14ac:dyDescent="0.2">
      <c r="B116" s="28" t="s">
        <v>17</v>
      </c>
      <c r="C116" s="163">
        <f t="shared" ref="C116:H120" si="145">C109*1000</f>
        <v>18.776856324184781</v>
      </c>
      <c r="D116" s="163">
        <f t="shared" si="145"/>
        <v>2.412387664092408</v>
      </c>
      <c r="E116" s="163">
        <f t="shared" si="145"/>
        <v>2.6626230028573286</v>
      </c>
      <c r="F116" s="163">
        <f t="shared" si="145"/>
        <v>25.451931187879705</v>
      </c>
      <c r="G116" s="163">
        <f t="shared" si="145"/>
        <v>2.3213964915965302</v>
      </c>
      <c r="H116" s="163">
        <f t="shared" si="145"/>
        <v>5.9564884626846002</v>
      </c>
      <c r="Y116" s="94"/>
      <c r="Z116" s="94"/>
      <c r="AA116" s="94"/>
      <c r="AB116" s="94"/>
      <c r="AC116" s="94"/>
      <c r="AD116" s="94"/>
      <c r="AE116" s="94"/>
      <c r="AF116" s="94"/>
      <c r="AG116" s="94"/>
      <c r="AH116" s="94"/>
    </row>
    <row r="117" spans="2:34" x14ac:dyDescent="0.2">
      <c r="B117" s="28" t="s">
        <v>18</v>
      </c>
      <c r="C117" s="163">
        <f t="shared" si="145"/>
        <v>18.468436963158471</v>
      </c>
      <c r="D117" s="163">
        <f t="shared" si="145"/>
        <v>3.4678488363076521</v>
      </c>
      <c r="E117" s="163">
        <f t="shared" si="145"/>
        <v>2.4601460943349314</v>
      </c>
      <c r="F117" s="163">
        <f t="shared" si="145"/>
        <v>22.61736526442283</v>
      </c>
      <c r="G117" s="163">
        <f t="shared" si="145"/>
        <v>2.8775013438966126</v>
      </c>
      <c r="H117" s="163">
        <f t="shared" si="145"/>
        <v>8.654844250431081</v>
      </c>
      <c r="Y117" s="94"/>
      <c r="Z117" s="94"/>
      <c r="AA117" s="94"/>
      <c r="AB117" s="94"/>
      <c r="AC117" s="94"/>
      <c r="AD117" s="94"/>
      <c r="AE117" s="94"/>
      <c r="AF117" s="94"/>
      <c r="AG117" s="94"/>
      <c r="AH117" s="94"/>
    </row>
    <row r="118" spans="2:34" x14ac:dyDescent="0.2">
      <c r="B118" s="28" t="s">
        <v>19</v>
      </c>
      <c r="C118" s="163">
        <f t="shared" si="145"/>
        <v>16.179298019377498</v>
      </c>
      <c r="D118" s="163">
        <f t="shared" si="145"/>
        <v>3.9281102489596171</v>
      </c>
      <c r="E118" s="163">
        <f t="shared" si="145"/>
        <v>1.7642971389575346</v>
      </c>
      <c r="F118" s="163">
        <f t="shared" si="145"/>
        <v>17.311527404465206</v>
      </c>
      <c r="G118" s="163">
        <f t="shared" si="145"/>
        <v>4.5153639378466233</v>
      </c>
      <c r="H118" s="163">
        <f t="shared" si="145"/>
        <v>10.843647629038481</v>
      </c>
      <c r="Y118" s="94"/>
      <c r="Z118" s="94"/>
      <c r="AA118" s="94"/>
      <c r="AB118" s="94"/>
      <c r="AC118" s="94"/>
      <c r="AD118" s="94"/>
      <c r="AE118" s="94"/>
      <c r="AF118" s="94"/>
      <c r="AG118" s="94"/>
      <c r="AH118" s="94"/>
    </row>
    <row r="119" spans="2:34" x14ac:dyDescent="0.2">
      <c r="B119" s="34" t="s">
        <v>20</v>
      </c>
      <c r="C119" s="163">
        <f t="shared" si="145"/>
        <v>16.86938333670707</v>
      </c>
      <c r="D119" s="163">
        <f t="shared" si="145"/>
        <v>5.4634317994261048</v>
      </c>
      <c r="E119" s="163">
        <f t="shared" si="145"/>
        <v>1.8611201031001359</v>
      </c>
      <c r="F119" s="163">
        <f t="shared" si="145"/>
        <v>18.082345103706231</v>
      </c>
      <c r="G119" s="163">
        <f t="shared" si="145"/>
        <v>4.0105870742682246</v>
      </c>
      <c r="H119" s="163">
        <f t="shared" si="145"/>
        <v>10.634920749279312</v>
      </c>
    </row>
    <row r="120" spans="2:34" x14ac:dyDescent="0.2">
      <c r="B120" s="126" t="s">
        <v>147</v>
      </c>
      <c r="C120" s="165">
        <f t="shared" si="145"/>
        <v>16.812172593040707</v>
      </c>
      <c r="D120" s="165">
        <f t="shared" si="145"/>
        <v>4.0354658097386835</v>
      </c>
      <c r="E120" s="165">
        <f t="shared" si="145"/>
        <v>2.3965565101109654</v>
      </c>
      <c r="F120" s="165">
        <f t="shared" si="145"/>
        <v>23.613467036426883</v>
      </c>
      <c r="G120" s="165">
        <f t="shared" si="145"/>
        <v>1.8451553866798966</v>
      </c>
      <c r="H120" s="165">
        <f t="shared" si="145"/>
        <v>0</v>
      </c>
    </row>
  </sheetData>
  <mergeCells count="2">
    <mergeCell ref="G75:G77"/>
    <mergeCell ref="AF88:AG90"/>
  </mergeCells>
  <pageMargins left="0.7" right="0.7" top="0.78740157499999996" bottom="0.78740157499999996" header="0.3" footer="0.3"/>
  <pageSetup paperSize="9" scale="1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9E74D-3AA2-4F7C-9F93-DE1714F7C3B1}">
  <dimension ref="B1:X89"/>
  <sheetViews>
    <sheetView zoomScaleNormal="100" workbookViewId="0">
      <selection activeCell="B1" sqref="B1:B2"/>
    </sheetView>
  </sheetViews>
  <sheetFormatPr baseColWidth="10" defaultRowHeight="15" x14ac:dyDescent="0.2"/>
  <cols>
    <col min="2" max="2" width="13.6640625" customWidth="1"/>
    <col min="3" max="3" width="13.6640625" style="29" customWidth="1"/>
    <col min="4" max="4" width="17.33203125" style="2" customWidth="1"/>
    <col min="5" max="10" width="17.33203125" customWidth="1"/>
    <col min="12" max="12" width="15.1640625" customWidth="1"/>
    <col min="14" max="14" width="18.83203125" style="2" customWidth="1"/>
  </cols>
  <sheetData>
    <row r="1" spans="2:16" x14ac:dyDescent="0.2">
      <c r="B1" t="s">
        <v>196</v>
      </c>
    </row>
    <row r="2" spans="2:16" x14ac:dyDescent="0.2">
      <c r="B2" t="s">
        <v>197</v>
      </c>
      <c r="D2" s="137">
        <v>12.96</v>
      </c>
      <c r="E2" s="137">
        <v>3.7</v>
      </c>
      <c r="F2" s="138" t="s">
        <v>145</v>
      </c>
    </row>
    <row r="3" spans="2:16" ht="19" x14ac:dyDescent="0.25">
      <c r="B3" s="78" t="s">
        <v>115</v>
      </c>
      <c r="D3" s="137">
        <f>D2/D6</f>
        <v>8.8432060350889657E-2</v>
      </c>
      <c r="E3" s="137">
        <f>E2/E6</f>
        <v>1.3282175945742632E-2</v>
      </c>
      <c r="F3" s="138" t="s">
        <v>39</v>
      </c>
      <c r="L3" s="1" t="s">
        <v>110</v>
      </c>
    </row>
    <row r="4" spans="2:16" x14ac:dyDescent="0.2">
      <c r="D4" s="137">
        <f>D3*D5</f>
        <v>3.8932641740236424</v>
      </c>
      <c r="E4" s="137">
        <f>E3*E5</f>
        <v>1.3384130896336257</v>
      </c>
      <c r="F4" s="138" t="s">
        <v>146</v>
      </c>
    </row>
    <row r="5" spans="2:16" ht="18" thickBot="1" x14ac:dyDescent="0.25">
      <c r="B5" s="77"/>
      <c r="C5" s="67" t="s">
        <v>27</v>
      </c>
      <c r="D5" s="68">
        <f>D24*Additional!M7+D25*Additional!M8</f>
        <v>44.025483049649139</v>
      </c>
      <c r="E5" s="68">
        <f>E27*Additional!M9+E28*Additional!M10</f>
        <v>100.76760728821925</v>
      </c>
      <c r="F5" s="68">
        <f>F24*Additional!M11+F25*Additional!M12</f>
        <v>108.68001242921663</v>
      </c>
      <c r="G5" s="68">
        <f>G24*Additional!M15+G25*Additional!M16</f>
        <v>207.66998097174971</v>
      </c>
      <c r="H5" s="68">
        <f>H24*Additional!M14+H25*Additional!M13</f>
        <v>24.752923815381418</v>
      </c>
      <c r="I5" s="68">
        <f>Additional!M21</f>
        <v>256.89999999999998</v>
      </c>
      <c r="J5" s="68">
        <f>Additional!M22</f>
        <v>44.524000000000001</v>
      </c>
      <c r="L5" s="48" t="s">
        <v>50</v>
      </c>
      <c r="M5" s="64" t="s">
        <v>82</v>
      </c>
      <c r="N5" s="135" t="s">
        <v>127</v>
      </c>
      <c r="O5" s="136"/>
      <c r="P5" s="136"/>
    </row>
    <row r="6" spans="2:16" ht="18" thickTop="1" x14ac:dyDescent="0.2">
      <c r="C6" s="67" t="s">
        <v>72</v>
      </c>
      <c r="D6" s="69">
        <f>SUMPRODUCT($B9:$B21,D9:D21)</f>
        <v>146.55318386313746</v>
      </c>
      <c r="E6" s="69">
        <f t="shared" ref="E6:J6" si="0">SUMPRODUCT($B9:$B21,E9:E21)</f>
        <v>278.56881395897864</v>
      </c>
      <c r="F6" s="69">
        <f t="shared" si="0"/>
        <v>279.63417552429735</v>
      </c>
      <c r="G6" s="69">
        <f t="shared" si="0"/>
        <v>568.18640431513654</v>
      </c>
      <c r="H6" s="69">
        <f t="shared" si="0"/>
        <v>60.501652198107273</v>
      </c>
      <c r="I6" s="69">
        <f t="shared" si="0"/>
        <v>721.15196654272188</v>
      </c>
      <c r="J6" s="69">
        <f t="shared" si="0"/>
        <v>231.53100000000001</v>
      </c>
      <c r="L6" s="31" t="s">
        <v>38</v>
      </c>
      <c r="M6" s="22">
        <v>44.05</v>
      </c>
      <c r="N6" s="29" t="s">
        <v>118</v>
      </c>
    </row>
    <row r="7" spans="2:16" ht="17" x14ac:dyDescent="0.25">
      <c r="B7" s="70"/>
      <c r="C7" s="82" t="s">
        <v>109</v>
      </c>
      <c r="D7" s="71" t="s">
        <v>54</v>
      </c>
      <c r="E7" s="71" t="s">
        <v>55</v>
      </c>
      <c r="F7" s="71" t="s">
        <v>56</v>
      </c>
      <c r="G7" s="71" t="s">
        <v>57</v>
      </c>
      <c r="H7" s="71" t="s">
        <v>58</v>
      </c>
      <c r="I7" s="71" t="s">
        <v>59</v>
      </c>
      <c r="J7" s="71" t="s">
        <v>60</v>
      </c>
      <c r="L7" s="31" t="s">
        <v>36</v>
      </c>
      <c r="M7" s="22">
        <v>43.79</v>
      </c>
      <c r="N7" s="29" t="s">
        <v>119</v>
      </c>
    </row>
    <row r="8" spans="2:16" ht="18" thickBot="1" x14ac:dyDescent="0.25">
      <c r="B8" s="72"/>
      <c r="C8" s="86" t="s">
        <v>50</v>
      </c>
      <c r="D8" s="73" t="s">
        <v>61</v>
      </c>
      <c r="E8" s="73" t="s">
        <v>62</v>
      </c>
      <c r="F8" s="73" t="s">
        <v>63</v>
      </c>
      <c r="G8" s="73" t="s">
        <v>64</v>
      </c>
      <c r="H8" s="73" t="s">
        <v>65</v>
      </c>
      <c r="I8" s="73" t="s">
        <v>12</v>
      </c>
      <c r="J8" s="73" t="s">
        <v>3</v>
      </c>
      <c r="L8" s="31" t="s">
        <v>37</v>
      </c>
      <c r="M8" s="22">
        <v>46.39</v>
      </c>
      <c r="N8" s="29" t="s">
        <v>119</v>
      </c>
    </row>
    <row r="9" spans="2:16" ht="17" thickTop="1" x14ac:dyDescent="0.2">
      <c r="B9" s="17">
        <v>28.085000000000001</v>
      </c>
      <c r="C9" s="8" t="s">
        <v>40</v>
      </c>
      <c r="D9" s="9">
        <v>0.99857026424627093</v>
      </c>
      <c r="E9" s="9">
        <v>1.9610798146953545</v>
      </c>
      <c r="F9" s="9">
        <v>2.0069061210462356</v>
      </c>
      <c r="G9" s="9">
        <v>3.3478339647721413</v>
      </c>
      <c r="H9" s="10">
        <v>1.8127971100649367E-3</v>
      </c>
      <c r="I9" s="10">
        <v>5.6510765177962323</v>
      </c>
      <c r="J9" s="10">
        <v>0</v>
      </c>
      <c r="L9" s="31" t="s">
        <v>28</v>
      </c>
      <c r="M9" s="22">
        <v>100.79</v>
      </c>
      <c r="N9" s="29" t="s">
        <v>120</v>
      </c>
    </row>
    <row r="10" spans="2:16" ht="16" x14ac:dyDescent="0.2">
      <c r="B10" s="17">
        <v>47.866999999999997</v>
      </c>
      <c r="C10" s="8" t="s">
        <v>41</v>
      </c>
      <c r="D10" s="9">
        <v>1.0990369323650568E-4</v>
      </c>
      <c r="E10" s="9">
        <v>1.43944958267027E-4</v>
      </c>
      <c r="F10" s="9">
        <v>1.5512225114378933E-4</v>
      </c>
      <c r="G10" s="9">
        <v>2.8518218679689873E-4</v>
      </c>
      <c r="H10" s="10">
        <v>2.8796443774412278E-5</v>
      </c>
      <c r="I10" s="10">
        <v>6.4213021303649565E-4</v>
      </c>
      <c r="J10" s="10">
        <v>0</v>
      </c>
      <c r="L10" s="31" t="s">
        <v>31</v>
      </c>
      <c r="M10" s="22">
        <v>100.25</v>
      </c>
      <c r="N10" s="29" t="s">
        <v>121</v>
      </c>
    </row>
    <row r="11" spans="2:16" ht="16" x14ac:dyDescent="0.2">
      <c r="B11" s="17">
        <v>26.981000000000002</v>
      </c>
      <c r="C11" s="8" t="s">
        <v>42</v>
      </c>
      <c r="D11" s="9">
        <v>4.878582991249243E-4</v>
      </c>
      <c r="E11" s="9">
        <v>2.0630703322935222</v>
      </c>
      <c r="F11" s="9">
        <v>1.0026396547041041E-2</v>
      </c>
      <c r="G11" s="9">
        <v>1.5140260269127097</v>
      </c>
      <c r="H11" s="10">
        <v>1.8871180544313699E-3</v>
      </c>
      <c r="I11" s="10">
        <v>0.3879627522179091</v>
      </c>
      <c r="J11" s="10">
        <v>0</v>
      </c>
      <c r="L11" s="31" t="s">
        <v>32</v>
      </c>
      <c r="M11" s="22">
        <v>108.5</v>
      </c>
      <c r="N11" s="29" t="s">
        <v>119</v>
      </c>
    </row>
    <row r="12" spans="2:16" ht="16" x14ac:dyDescent="0.2">
      <c r="B12" s="17">
        <v>51.996099999999998</v>
      </c>
      <c r="C12" s="8" t="s">
        <v>43</v>
      </c>
      <c r="D12" s="9">
        <v>2.6337639207643773E-4</v>
      </c>
      <c r="E12" s="9">
        <v>1.1622088321737301E-4</v>
      </c>
      <c r="F12" s="9">
        <v>1.8228447626193522E-4</v>
      </c>
      <c r="G12" s="9">
        <v>1.1846742753447064E-3</v>
      </c>
      <c r="H12" s="10">
        <v>2.4363068017288355E-5</v>
      </c>
      <c r="I12" s="10">
        <v>4.5019598076089889E-4</v>
      </c>
      <c r="J12" s="10">
        <v>0</v>
      </c>
      <c r="L12" s="31" t="s">
        <v>33</v>
      </c>
      <c r="M12" s="22">
        <v>115</v>
      </c>
      <c r="N12" s="29" t="s">
        <v>122</v>
      </c>
    </row>
    <row r="13" spans="2:16" ht="19" x14ac:dyDescent="0.2">
      <c r="B13" s="17">
        <v>55.844999999999999</v>
      </c>
      <c r="C13" s="8" t="s">
        <v>44</v>
      </c>
      <c r="D13" s="9">
        <v>0.18080795473308686</v>
      </c>
      <c r="E13" s="9">
        <v>2.350491080704023E-2</v>
      </c>
      <c r="F13" s="9">
        <v>8.2090502180104025E-2</v>
      </c>
      <c r="G13" s="9">
        <v>0.44216870009811865</v>
      </c>
      <c r="H13" s="10">
        <v>6.7608571287190694E-2</v>
      </c>
      <c r="I13" s="10">
        <v>6.3601526613318971E-2</v>
      </c>
      <c r="J13" s="10">
        <v>3</v>
      </c>
      <c r="L13" s="31" t="s">
        <v>30</v>
      </c>
      <c r="M13" s="22">
        <v>26.43</v>
      </c>
      <c r="N13" s="29" t="s">
        <v>123</v>
      </c>
    </row>
    <row r="14" spans="2:16" ht="16" x14ac:dyDescent="0.2">
      <c r="B14" s="17">
        <v>24.305</v>
      </c>
      <c r="C14" s="8" t="s">
        <v>45</v>
      </c>
      <c r="D14" s="9">
        <v>1.8155169739887416</v>
      </c>
      <c r="E14" s="9">
        <v>5.2505213464297115E-3</v>
      </c>
      <c r="F14" s="9">
        <v>2.8820840633915683</v>
      </c>
      <c r="G14" s="9">
        <v>4.5402943448536917</v>
      </c>
      <c r="H14" s="10">
        <v>0.92239835242678259</v>
      </c>
      <c r="I14" s="10">
        <v>1.3526478497925648E-2</v>
      </c>
      <c r="J14" s="10">
        <v>0</v>
      </c>
      <c r="L14" s="31" t="s">
        <v>29</v>
      </c>
      <c r="M14" s="22">
        <v>24.63</v>
      </c>
      <c r="N14" s="29" t="s">
        <v>124</v>
      </c>
    </row>
    <row r="15" spans="2:16" ht="19" x14ac:dyDescent="0.2">
      <c r="B15" s="17">
        <v>54.938000000000002</v>
      </c>
      <c r="C15" s="8" t="s">
        <v>46</v>
      </c>
      <c r="D15" s="9">
        <v>3.096351427492748E-3</v>
      </c>
      <c r="E15" s="9">
        <v>9.9974249442511182E-4</v>
      </c>
      <c r="F15" s="9">
        <v>3.0964889622204215E-3</v>
      </c>
      <c r="G15" s="9">
        <v>8.4670638041581224E-3</v>
      </c>
      <c r="H15" s="10">
        <v>3.312486338671719E-3</v>
      </c>
      <c r="I15" s="10">
        <v>4.0774167506375204E-3</v>
      </c>
      <c r="J15" s="10">
        <v>0</v>
      </c>
      <c r="L15" s="31" t="s">
        <v>34</v>
      </c>
      <c r="M15" s="22">
        <v>207.11</v>
      </c>
      <c r="N15" s="29" t="s">
        <v>124</v>
      </c>
    </row>
    <row r="16" spans="2:16" ht="16" x14ac:dyDescent="0.2">
      <c r="B16" s="17">
        <v>40.078000000000003</v>
      </c>
      <c r="C16" s="8" t="s">
        <v>47</v>
      </c>
      <c r="D16" s="9">
        <v>1.8497795635051531E-3</v>
      </c>
      <c r="E16" s="9">
        <v>0.93247861549666011</v>
      </c>
      <c r="F16" s="9">
        <v>8.5696559491979486E-4</v>
      </c>
      <c r="G16" s="9">
        <v>3.2649525516076104E-2</v>
      </c>
      <c r="H16" s="10">
        <v>5.9079967819310575E-5</v>
      </c>
      <c r="I16" s="10">
        <v>6.027335422848477</v>
      </c>
      <c r="J16" s="10">
        <v>0</v>
      </c>
      <c r="L16" s="31" t="s">
        <v>35</v>
      </c>
      <c r="M16" s="22">
        <v>213.42</v>
      </c>
      <c r="N16" s="29" t="s">
        <v>125</v>
      </c>
    </row>
    <row r="17" spans="2:14" ht="16" x14ac:dyDescent="0.2">
      <c r="B17" s="17">
        <v>22.989000000000001</v>
      </c>
      <c r="C17" s="8" t="s">
        <v>48</v>
      </c>
      <c r="D17" s="9">
        <v>3.903047748392106E-4</v>
      </c>
      <c r="E17" s="9">
        <v>4.0340863341323571E-2</v>
      </c>
      <c r="F17" s="9">
        <v>4.2577795467515205E-3</v>
      </c>
      <c r="G17" s="9">
        <v>1.2610860851833133E-2</v>
      </c>
      <c r="H17" s="10">
        <v>7.5943505481925754E-5</v>
      </c>
      <c r="I17" s="10">
        <v>1.0421338873234973E-2</v>
      </c>
      <c r="J17" s="10">
        <v>0</v>
      </c>
      <c r="L17" s="31" t="s">
        <v>98</v>
      </c>
      <c r="M17" s="22">
        <v>68.27</v>
      </c>
      <c r="N17" s="29" t="s">
        <v>120</v>
      </c>
    </row>
    <row r="18" spans="2:14" ht="16" x14ac:dyDescent="0.2">
      <c r="B18" s="17">
        <v>39.098300000000002</v>
      </c>
      <c r="C18" s="8" t="s">
        <v>49</v>
      </c>
      <c r="D18" s="9">
        <v>9.3199967874282619E-5</v>
      </c>
      <c r="E18" s="9">
        <v>7.3685822486169021E-4</v>
      </c>
      <c r="F18" s="9">
        <v>6.1516393619500949E-4</v>
      </c>
      <c r="G18" s="9">
        <v>2.1211792041599298E-3</v>
      </c>
      <c r="H18" s="10">
        <v>6.6258870885959839E-5</v>
      </c>
      <c r="I18" s="10">
        <v>3.8353507296010525E-4</v>
      </c>
      <c r="J18" s="10">
        <v>0</v>
      </c>
      <c r="L18" s="31" t="s">
        <v>21</v>
      </c>
      <c r="M18" s="22">
        <v>66.09</v>
      </c>
      <c r="N18" s="29" t="s">
        <v>126</v>
      </c>
    </row>
    <row r="19" spans="2:14" ht="16" x14ac:dyDescent="0.2">
      <c r="B19" s="17">
        <v>15.999000000000001</v>
      </c>
      <c r="C19" s="8" t="s">
        <v>24</v>
      </c>
      <c r="D19" s="9">
        <v>4</v>
      </c>
      <c r="E19" s="9">
        <v>8</v>
      </c>
      <c r="F19" s="9">
        <v>7</v>
      </c>
      <c r="G19" s="9">
        <v>14</v>
      </c>
      <c r="H19" s="10">
        <v>1</v>
      </c>
      <c r="I19" s="10">
        <v>18</v>
      </c>
      <c r="J19" s="10">
        <v>4</v>
      </c>
      <c r="L19" s="31" t="s">
        <v>23</v>
      </c>
      <c r="M19" s="22">
        <v>131.85</v>
      </c>
      <c r="N19" s="29" t="s">
        <v>126</v>
      </c>
    </row>
    <row r="20" spans="2:14" x14ac:dyDescent="0.2">
      <c r="B20" s="17">
        <v>1.008</v>
      </c>
      <c r="C20" s="8" t="s">
        <v>52</v>
      </c>
      <c r="D20" s="17"/>
      <c r="E20" s="11"/>
      <c r="F20" s="17"/>
      <c r="G20" s="17"/>
      <c r="H20" s="17"/>
      <c r="I20" s="17"/>
      <c r="J20" s="2"/>
      <c r="L20" s="31" t="s">
        <v>25</v>
      </c>
      <c r="M20" s="22">
        <v>125.3</v>
      </c>
      <c r="N20" s="29" t="s">
        <v>126</v>
      </c>
    </row>
    <row r="21" spans="2:14" ht="17" x14ac:dyDescent="0.2">
      <c r="B21" s="74">
        <f>2*B20+B19</f>
        <v>18.015000000000001</v>
      </c>
      <c r="C21" s="75" t="s">
        <v>53</v>
      </c>
      <c r="D21" s="74"/>
      <c r="E21" s="76"/>
      <c r="F21" s="74">
        <v>2</v>
      </c>
      <c r="G21" s="74">
        <v>4</v>
      </c>
      <c r="H21" s="74">
        <v>1</v>
      </c>
      <c r="I21" s="74">
        <v>1</v>
      </c>
      <c r="J21" s="58"/>
      <c r="L21" s="31" t="s">
        <v>12</v>
      </c>
      <c r="M21" s="25">
        <v>256.89999999999998</v>
      </c>
      <c r="N21" s="29" t="s">
        <v>117</v>
      </c>
    </row>
    <row r="22" spans="2:14" x14ac:dyDescent="0.2">
      <c r="E22" s="5"/>
      <c r="F22" s="2"/>
      <c r="G22" s="2"/>
      <c r="H22" s="3"/>
      <c r="I22" s="2"/>
      <c r="J22" s="2"/>
      <c r="L22" s="62" t="s">
        <v>3</v>
      </c>
      <c r="M22" s="63">
        <v>44.524000000000001</v>
      </c>
      <c r="N22" s="87" t="s">
        <v>124</v>
      </c>
    </row>
    <row r="23" spans="2:14" x14ac:dyDescent="0.2">
      <c r="C23" s="29" t="s">
        <v>77</v>
      </c>
      <c r="D23" s="5">
        <f>D13+D14</f>
        <v>1.9963249287218283</v>
      </c>
      <c r="E23" s="5"/>
      <c r="F23" s="5">
        <f>F13+F14</f>
        <v>2.9641745655716725</v>
      </c>
      <c r="G23" s="5">
        <f>G13+G14</f>
        <v>4.9824630449518104</v>
      </c>
      <c r="H23" s="5">
        <f>H13+H14</f>
        <v>0.99000692371397325</v>
      </c>
      <c r="I23" s="5"/>
      <c r="J23" s="5"/>
    </row>
    <row r="24" spans="2:14" x14ac:dyDescent="0.2">
      <c r="C24" s="29" t="s">
        <v>73</v>
      </c>
      <c r="D24" s="5">
        <f>D14/D23</f>
        <v>0.90942959628879083</v>
      </c>
      <c r="E24" s="5"/>
      <c r="F24" s="5">
        <f>F14/F23</f>
        <v>0.97230578012051994</v>
      </c>
      <c r="G24" s="5">
        <f>G14/G23</f>
        <v>0.91125499655313646</v>
      </c>
      <c r="H24" s="5">
        <f>H14/H23</f>
        <v>0.93170899145476715</v>
      </c>
      <c r="I24" s="2"/>
      <c r="J24" s="2"/>
    </row>
    <row r="25" spans="2:14" x14ac:dyDescent="0.2">
      <c r="C25" s="29" t="s">
        <v>74</v>
      </c>
      <c r="D25" s="5">
        <f>1-D24</f>
        <v>9.0570403711209169E-2</v>
      </c>
      <c r="E25" s="5"/>
      <c r="F25" s="5">
        <f>1-F24</f>
        <v>2.7694219879480064E-2</v>
      </c>
      <c r="G25" s="5">
        <f>1-G24</f>
        <v>8.8745003446863535E-2</v>
      </c>
      <c r="H25" s="5">
        <f>1-H24</f>
        <v>6.8291008545232845E-2</v>
      </c>
      <c r="I25" s="2"/>
      <c r="J25" s="2"/>
    </row>
    <row r="26" spans="2:14" x14ac:dyDescent="0.2">
      <c r="C26" s="29" t="s">
        <v>78</v>
      </c>
      <c r="D26" s="5"/>
      <c r="E26" s="5">
        <f>E16+E17</f>
        <v>0.9728194788379837</v>
      </c>
      <c r="F26" s="5"/>
      <c r="G26" s="5"/>
      <c r="H26" s="5"/>
      <c r="I26" s="2"/>
      <c r="J26" s="2"/>
    </row>
    <row r="27" spans="2:14" x14ac:dyDescent="0.2">
      <c r="C27" s="29" t="s">
        <v>75</v>
      </c>
      <c r="E27" s="5">
        <f>E16/E26</f>
        <v>0.95853201522084031</v>
      </c>
      <c r="F27" s="2"/>
      <c r="G27" s="2"/>
      <c r="H27" s="2"/>
      <c r="I27" s="2"/>
      <c r="J27" s="2"/>
    </row>
    <row r="28" spans="2:14" x14ac:dyDescent="0.2">
      <c r="C28" s="29" t="s">
        <v>76</v>
      </c>
      <c r="E28" s="5">
        <f>1-E27</f>
        <v>4.1467984779159694E-2</v>
      </c>
      <c r="F28" s="2"/>
      <c r="G28" s="2"/>
      <c r="H28" s="2"/>
      <c r="I28" s="2"/>
      <c r="J28" s="2"/>
    </row>
    <row r="29" spans="2:14" x14ac:dyDescent="0.2">
      <c r="B29" s="56"/>
      <c r="C29" s="87"/>
      <c r="D29" s="58"/>
      <c r="E29" s="56"/>
      <c r="F29" s="56"/>
      <c r="G29" s="56"/>
      <c r="H29" s="56"/>
      <c r="I29" s="66"/>
      <c r="J29" s="66"/>
    </row>
    <row r="30" spans="2:14" x14ac:dyDescent="0.2">
      <c r="I30" s="5"/>
      <c r="J30" s="5"/>
    </row>
    <row r="31" spans="2:14" x14ac:dyDescent="0.2">
      <c r="D31" s="139">
        <v>12.96</v>
      </c>
      <c r="E31" s="139">
        <v>3.7</v>
      </c>
      <c r="F31" s="138" t="s">
        <v>145</v>
      </c>
    </row>
    <row r="32" spans="2:14" ht="19" x14ac:dyDescent="0.25">
      <c r="B32" s="78" t="s">
        <v>116</v>
      </c>
      <c r="D32" s="140">
        <f>D31/D35</f>
        <v>8.845767487839841E-2</v>
      </c>
      <c r="E32" s="140">
        <f>E31/E35</f>
        <v>1.3290516655123843E-2</v>
      </c>
      <c r="F32" s="138" t="s">
        <v>39</v>
      </c>
    </row>
    <row r="33" spans="2:10" x14ac:dyDescent="0.2">
      <c r="D33" s="137">
        <f>D32*D34</f>
        <v>3.8948818287331233</v>
      </c>
      <c r="E33" s="137">
        <f>E32*E34</f>
        <v>1.3392178313491288</v>
      </c>
      <c r="F33" s="138" t="s">
        <v>146</v>
      </c>
    </row>
    <row r="34" spans="2:10" ht="17" x14ac:dyDescent="0.2">
      <c r="B34" s="77"/>
      <c r="C34" s="67" t="s">
        <v>27</v>
      </c>
      <c r="D34" s="83">
        <f>D53*Additional!M7+Additional!D54*Additional!M8</f>
        <v>44.031022001057181</v>
      </c>
      <c r="E34" s="83">
        <f>E56*Additional!M9+Additional!E57*Additional!M10</f>
        <v>100.76491878386271</v>
      </c>
      <c r="F34" s="83">
        <f>F53*Additional!M15+Additional!F54*Additional!M16</f>
        <v>207.63645266510497</v>
      </c>
      <c r="G34" s="83">
        <f>G53*Additional!M18+Additional!G54*Additional!M17</f>
        <v>66.402534375167193</v>
      </c>
      <c r="H34" s="83">
        <f>Additional!I5</f>
        <v>256.89999999999998</v>
      </c>
      <c r="I34" s="83">
        <f>I59*Additional!M19+Additional!I60*Additional!M20</f>
        <v>130.57454432645295</v>
      </c>
      <c r="J34" s="83">
        <f>J59*Additional!M19+Additional!J60*Additional!M20</f>
        <v>126.79744856411899</v>
      </c>
    </row>
    <row r="35" spans="2:10" ht="17" x14ac:dyDescent="0.2">
      <c r="B35" s="77"/>
      <c r="C35" s="67" t="s">
        <v>72</v>
      </c>
      <c r="D35" s="84">
        <f>SUMPRODUCT($B38:$B50,D38:D50)</f>
        <v>146.51074672509696</v>
      </c>
      <c r="E35" s="84">
        <f t="shared" ref="E35:J35" si="1">SUMPRODUCT($B38:$B50,E38:E50)</f>
        <v>278.39399295087247</v>
      </c>
      <c r="F35" s="84">
        <f t="shared" si="1"/>
        <v>566.6210544465514</v>
      </c>
      <c r="G35" s="84">
        <f t="shared" si="1"/>
        <v>221.37331135749662</v>
      </c>
      <c r="H35" s="84">
        <f t="shared" si="1"/>
        <v>718.18332223627351</v>
      </c>
      <c r="I35" s="84">
        <f t="shared" si="1"/>
        <v>495.49474835957432</v>
      </c>
      <c r="J35" s="84">
        <f t="shared" si="1"/>
        <v>465.49935350380917</v>
      </c>
    </row>
    <row r="36" spans="2:10" ht="17" x14ac:dyDescent="0.25">
      <c r="B36" s="70"/>
      <c r="C36" s="85" t="s">
        <v>109</v>
      </c>
      <c r="D36" s="71" t="s">
        <v>54</v>
      </c>
      <c r="E36" s="71" t="s">
        <v>55</v>
      </c>
      <c r="F36" s="71" t="s">
        <v>57</v>
      </c>
      <c r="G36" s="71" t="s">
        <v>66</v>
      </c>
      <c r="H36" s="71" t="s">
        <v>59</v>
      </c>
      <c r="I36" s="71" t="s">
        <v>67</v>
      </c>
      <c r="J36" s="71" t="s">
        <v>68</v>
      </c>
    </row>
    <row r="37" spans="2:10" ht="18" thickBot="1" x14ac:dyDescent="0.25">
      <c r="B37" s="72"/>
      <c r="C37" s="88" t="s">
        <v>50</v>
      </c>
      <c r="D37" s="73" t="s">
        <v>61</v>
      </c>
      <c r="E37" s="73" t="s">
        <v>62</v>
      </c>
      <c r="F37" s="73" t="s">
        <v>64</v>
      </c>
      <c r="G37" s="73" t="s">
        <v>69</v>
      </c>
      <c r="H37" s="73" t="s">
        <v>12</v>
      </c>
      <c r="I37" s="73" t="s">
        <v>70</v>
      </c>
      <c r="J37" s="73" t="s">
        <v>71</v>
      </c>
    </row>
    <row r="38" spans="2:10" ht="17" thickTop="1" x14ac:dyDescent="0.2">
      <c r="B38" s="12">
        <v>28.085000000000001</v>
      </c>
      <c r="C38" s="8" t="s">
        <v>40</v>
      </c>
      <c r="D38" s="9">
        <v>1.0029428881067164</v>
      </c>
      <c r="E38" s="9">
        <v>2.0303913002252316</v>
      </c>
      <c r="F38" s="9">
        <v>3.3606781093794176</v>
      </c>
      <c r="G38" s="10">
        <v>1.95337514306629</v>
      </c>
      <c r="H38" s="10">
        <v>5.9203476522176262</v>
      </c>
      <c r="I38" s="10">
        <v>3.0050129079855519</v>
      </c>
      <c r="J38" s="10">
        <v>2.8777168878660238</v>
      </c>
    </row>
    <row r="39" spans="2:10" ht="16" x14ac:dyDescent="0.2">
      <c r="B39" s="12">
        <v>47.866999999999997</v>
      </c>
      <c r="C39" s="8" t="s">
        <v>41</v>
      </c>
      <c r="D39" s="9">
        <v>1.6304601979700461E-4</v>
      </c>
      <c r="E39" s="9">
        <v>8.619462729185037E-4</v>
      </c>
      <c r="F39" s="9">
        <v>5.4491832816238532E-4</v>
      </c>
      <c r="G39" s="10">
        <v>2.3652839347739382E-4</v>
      </c>
      <c r="H39" s="10">
        <v>7.5749679064305794E-4</v>
      </c>
      <c r="I39" s="10">
        <v>4.1519171765445626E-3</v>
      </c>
      <c r="J39" s="10">
        <v>2.0969010090319682E-2</v>
      </c>
    </row>
    <row r="40" spans="2:10" ht="16" x14ac:dyDescent="0.2">
      <c r="B40" s="12">
        <v>26.981000000000002</v>
      </c>
      <c r="C40" s="8" t="s">
        <v>42</v>
      </c>
      <c r="D40" s="9">
        <v>1.2539946357386646E-3</v>
      </c>
      <c r="E40" s="9">
        <v>1.9579749722897986</v>
      </c>
      <c r="F40" s="9">
        <v>1.4937835326301225</v>
      </c>
      <c r="G40" s="10">
        <v>7.6226799893579458E-2</v>
      </c>
      <c r="H40" s="10">
        <v>5.151439626770328E-2</v>
      </c>
      <c r="I40" s="10">
        <v>0.37324775368921381</v>
      </c>
      <c r="J40" s="10">
        <v>1.577718451891672</v>
      </c>
    </row>
    <row r="41" spans="2:10" ht="16" x14ac:dyDescent="0.2">
      <c r="B41" s="12">
        <v>51.996099999999998</v>
      </c>
      <c r="C41" s="13" t="s">
        <v>43</v>
      </c>
      <c r="D41" s="14">
        <v>3.0515208346036465E-4</v>
      </c>
      <c r="E41" s="14">
        <v>2.875547786863072E-4</v>
      </c>
      <c r="F41" s="14">
        <v>7.1230376114233694E-4</v>
      </c>
      <c r="G41" s="15">
        <v>1.344427176697546E-4</v>
      </c>
      <c r="H41" s="15">
        <v>1.1249854907259523E-3</v>
      </c>
      <c r="I41" s="15">
        <v>7.6619178195747308E-5</v>
      </c>
      <c r="J41" s="15">
        <v>3.1194748888537709E-4</v>
      </c>
    </row>
    <row r="42" spans="2:10" ht="19" x14ac:dyDescent="0.2">
      <c r="B42" s="12">
        <v>55.844999999999999</v>
      </c>
      <c r="C42" s="13" t="s">
        <v>51</v>
      </c>
      <c r="D42" s="14">
        <v>0.1839475062987895</v>
      </c>
      <c r="E42" s="14">
        <v>2.3313699335817482E-2</v>
      </c>
      <c r="F42" s="14">
        <v>0.4177578111119522</v>
      </c>
      <c r="G42" s="15">
        <v>0.13944814571137432</v>
      </c>
      <c r="H42" s="15">
        <v>0.13705218527256152</v>
      </c>
      <c r="I42" s="15">
        <v>1.543536057280442</v>
      </c>
      <c r="J42" s="15">
        <v>0.46759587910207878</v>
      </c>
    </row>
    <row r="43" spans="2:10" ht="16" x14ac:dyDescent="0.2">
      <c r="B43" s="12">
        <v>24.305</v>
      </c>
      <c r="C43" s="13" t="s">
        <v>45</v>
      </c>
      <c r="D43" s="14">
        <v>1.8003672628055496</v>
      </c>
      <c r="E43" s="14">
        <v>5.7104169811438496E-3</v>
      </c>
      <c r="F43" s="14">
        <v>4.5894383963397667</v>
      </c>
      <c r="G43" s="15">
        <v>0.83323512309123315</v>
      </c>
      <c r="H43" s="15">
        <v>0.10377499848292993</v>
      </c>
      <c r="I43" s="15">
        <v>0.10439734298717381</v>
      </c>
      <c r="J43" s="15">
        <v>0.13854621963519606</v>
      </c>
    </row>
    <row r="44" spans="2:10" ht="19" x14ac:dyDescent="0.2">
      <c r="B44" s="12">
        <v>54.938000000000002</v>
      </c>
      <c r="C44" s="13" t="s">
        <v>46</v>
      </c>
      <c r="D44" s="14">
        <v>3.1198940297381189E-3</v>
      </c>
      <c r="E44" s="14">
        <v>6.1513847684319161E-5</v>
      </c>
      <c r="F44" s="14">
        <v>4.7489029251805296E-3</v>
      </c>
      <c r="G44" s="15">
        <v>5.6899117689896122E-3</v>
      </c>
      <c r="H44" s="15">
        <v>2.0948457568566042E-2</v>
      </c>
      <c r="I44" s="16">
        <v>0</v>
      </c>
      <c r="J44" s="16">
        <v>0</v>
      </c>
    </row>
    <row r="45" spans="2:10" ht="16" x14ac:dyDescent="0.2">
      <c r="B45" s="12">
        <v>40.078000000000003</v>
      </c>
      <c r="C45" s="13" t="s">
        <v>47</v>
      </c>
      <c r="D45" s="14">
        <v>1.9744983180175874E-3</v>
      </c>
      <c r="E45" s="14">
        <v>0.94722805127564647</v>
      </c>
      <c r="F45" s="14">
        <v>1.0651103760304457E-2</v>
      </c>
      <c r="G45" s="15">
        <v>0.99703690088745656</v>
      </c>
      <c r="H45" s="15">
        <v>5.8161399666279436</v>
      </c>
      <c r="I45" s="15">
        <v>2.9948525411663613</v>
      </c>
      <c r="J45" s="15">
        <v>2.9831042204351705</v>
      </c>
    </row>
    <row r="46" spans="2:10" ht="16" x14ac:dyDescent="0.2">
      <c r="B46" s="12">
        <v>22.989000000000001</v>
      </c>
      <c r="C46" s="13" t="s">
        <v>48</v>
      </c>
      <c r="D46" s="14">
        <v>2.1834784079094926E-4</v>
      </c>
      <c r="E46" s="14">
        <v>4.6138599386734765E-2</v>
      </c>
      <c r="F46" s="14">
        <v>8.2780265179108799E-3</v>
      </c>
      <c r="G46" s="15">
        <v>5.4750192027579652E-3</v>
      </c>
      <c r="H46" s="15">
        <v>1.1483631302347846E-4</v>
      </c>
      <c r="I46" s="15">
        <v>2.8474954437606938E-3</v>
      </c>
      <c r="J46" s="15">
        <v>2.390380807008517E-3</v>
      </c>
    </row>
    <row r="47" spans="2:10" ht="16" x14ac:dyDescent="0.2">
      <c r="B47" s="12">
        <v>39.098300000000002</v>
      </c>
      <c r="C47" s="13" t="s">
        <v>49</v>
      </c>
      <c r="D47" s="14">
        <v>9.1087060678894977E-5</v>
      </c>
      <c r="E47" s="14">
        <v>6.7290074492775635E-4</v>
      </c>
      <c r="F47" s="14">
        <v>1.7764640895874713E-3</v>
      </c>
      <c r="G47" s="15">
        <v>1.7440420631630033E-4</v>
      </c>
      <c r="H47" s="15">
        <v>0</v>
      </c>
      <c r="I47" s="15">
        <v>2.130456009300876E-4</v>
      </c>
      <c r="J47" s="15">
        <v>2.6211756317712659E-4</v>
      </c>
    </row>
    <row r="48" spans="2:10" ht="16" x14ac:dyDescent="0.2">
      <c r="B48" s="12">
        <v>15.999000000000001</v>
      </c>
      <c r="C48" s="13" t="s">
        <v>24</v>
      </c>
      <c r="D48" s="14">
        <v>4</v>
      </c>
      <c r="E48" s="14">
        <v>8</v>
      </c>
      <c r="F48" s="14">
        <v>14</v>
      </c>
      <c r="G48" s="15">
        <v>6</v>
      </c>
      <c r="H48" s="15">
        <v>18</v>
      </c>
      <c r="I48" s="15">
        <v>12</v>
      </c>
      <c r="J48" s="15">
        <v>12</v>
      </c>
    </row>
    <row r="49" spans="2:10" x14ac:dyDescent="0.2">
      <c r="B49" s="12">
        <v>1.008</v>
      </c>
      <c r="C49" s="13" t="s">
        <v>52</v>
      </c>
      <c r="D49" s="12"/>
      <c r="E49" s="12"/>
      <c r="F49" s="12"/>
      <c r="G49" s="12"/>
      <c r="H49" s="12"/>
      <c r="I49" s="12"/>
      <c r="J49" s="12"/>
    </row>
    <row r="50" spans="2:10" ht="17" x14ac:dyDescent="0.2">
      <c r="B50" s="74">
        <f>2*B49+B48</f>
        <v>18.015000000000001</v>
      </c>
      <c r="C50" s="75" t="s">
        <v>53</v>
      </c>
      <c r="D50" s="74"/>
      <c r="E50" s="74"/>
      <c r="F50" s="74">
        <v>4</v>
      </c>
      <c r="G50" s="74"/>
      <c r="H50" s="74">
        <v>1</v>
      </c>
      <c r="I50" s="74"/>
      <c r="J50" s="74"/>
    </row>
    <row r="51" spans="2:10" x14ac:dyDescent="0.2">
      <c r="E51" s="2"/>
      <c r="F51" s="2"/>
      <c r="G51" s="2"/>
      <c r="H51" s="2"/>
      <c r="I51" s="2"/>
      <c r="J51" s="2"/>
    </row>
    <row r="52" spans="2:10" x14ac:dyDescent="0.2">
      <c r="C52" s="29" t="s">
        <v>77</v>
      </c>
      <c r="D52" s="5">
        <f>D42+D43</f>
        <v>1.984314769104339</v>
      </c>
      <c r="E52" s="5"/>
      <c r="F52" s="5">
        <f>F42+F43</f>
        <v>5.0071962074517185</v>
      </c>
      <c r="G52" s="5">
        <f>G42+G43</f>
        <v>0.97268326880260747</v>
      </c>
      <c r="H52" s="5">
        <f>H42+H43</f>
        <v>0.24082718375549145</v>
      </c>
      <c r="I52" s="2"/>
      <c r="J52" s="2"/>
    </row>
    <row r="53" spans="2:10" x14ac:dyDescent="0.2">
      <c r="C53" s="29" t="s">
        <v>73</v>
      </c>
      <c r="D53" s="5">
        <f>D43/D52</f>
        <v>0.90729923036262139</v>
      </c>
      <c r="E53" s="5"/>
      <c r="F53" s="5">
        <f>F43/F52</f>
        <v>0.91656851583122634</v>
      </c>
      <c r="G53" s="5">
        <f>G43/G52</f>
        <v>0.85663560772147573</v>
      </c>
      <c r="H53" s="5">
        <f>H43/H52</f>
        <v>0.4309106508021589</v>
      </c>
      <c r="I53" s="2"/>
      <c r="J53" s="2"/>
    </row>
    <row r="54" spans="2:10" x14ac:dyDescent="0.2">
      <c r="C54" s="29" t="s">
        <v>74</v>
      </c>
      <c r="D54" s="5">
        <f>1-D53</f>
        <v>9.2700769637378611E-2</v>
      </c>
      <c r="E54" s="5"/>
      <c r="F54" s="5">
        <f>1-F53</f>
        <v>8.3431484168773662E-2</v>
      </c>
      <c r="G54" s="5">
        <f>1-G53</f>
        <v>0.14336439227852427</v>
      </c>
      <c r="H54" s="5">
        <f>1-H53</f>
        <v>0.56908934919784104</v>
      </c>
      <c r="I54" s="2"/>
      <c r="J54" s="2"/>
    </row>
    <row r="55" spans="2:10" x14ac:dyDescent="0.2">
      <c r="C55" s="29" t="s">
        <v>78</v>
      </c>
      <c r="D55" s="5"/>
      <c r="E55" s="5">
        <f>E45+E46</f>
        <v>0.99336665066238128</v>
      </c>
      <c r="F55" s="5"/>
      <c r="G55" s="5"/>
      <c r="H55" s="5"/>
      <c r="I55" s="2"/>
      <c r="J55" s="2"/>
    </row>
    <row r="56" spans="2:10" x14ac:dyDescent="0.2">
      <c r="C56" s="29" t="s">
        <v>75</v>
      </c>
      <c r="E56" s="5">
        <f>E45/E55</f>
        <v>0.95355330344946709</v>
      </c>
      <c r="F56" s="2"/>
      <c r="G56" s="2"/>
      <c r="H56" s="2"/>
      <c r="I56" s="2"/>
      <c r="J56" s="2"/>
    </row>
    <row r="57" spans="2:10" x14ac:dyDescent="0.2">
      <c r="C57" s="29" t="s">
        <v>76</v>
      </c>
      <c r="E57" s="5">
        <f>1-E56</f>
        <v>4.6446696550532907E-2</v>
      </c>
      <c r="F57" s="2"/>
      <c r="G57" s="2"/>
      <c r="H57" s="2"/>
      <c r="I57" s="2"/>
      <c r="J57" s="2"/>
    </row>
    <row r="58" spans="2:10" x14ac:dyDescent="0.2">
      <c r="C58" s="29" t="s">
        <v>79</v>
      </c>
      <c r="D58"/>
      <c r="E58" s="2"/>
      <c r="F58" s="2"/>
      <c r="G58" s="2"/>
      <c r="H58" s="2"/>
      <c r="I58" s="5">
        <f>I40+I42</f>
        <v>1.9167838109696558</v>
      </c>
      <c r="J58" s="5">
        <f>J40+J42</f>
        <v>2.0453143309937509</v>
      </c>
    </row>
    <row r="59" spans="2:10" x14ac:dyDescent="0.2">
      <c r="C59" s="29" t="s">
        <v>74</v>
      </c>
      <c r="D59"/>
      <c r="E59" s="2"/>
      <c r="F59" s="2"/>
      <c r="G59" s="2"/>
      <c r="H59" s="2"/>
      <c r="I59" s="5">
        <f>I42/I58</f>
        <v>0.80527394296991872</v>
      </c>
      <c r="J59" s="5">
        <f>J42/J58</f>
        <v>0.22861810139221453</v>
      </c>
    </row>
    <row r="60" spans="2:10" x14ac:dyDescent="0.2">
      <c r="C60" s="29" t="s">
        <v>80</v>
      </c>
      <c r="D60"/>
      <c r="E60" s="2"/>
      <c r="F60" s="2"/>
      <c r="G60" s="2"/>
      <c r="H60" s="2"/>
      <c r="I60" s="5">
        <f>1-I59</f>
        <v>0.19472605703008128</v>
      </c>
      <c r="J60" s="5">
        <f>1-J59</f>
        <v>0.7713818986077855</v>
      </c>
    </row>
    <row r="61" spans="2:10" x14ac:dyDescent="0.2">
      <c r="B61" s="56"/>
      <c r="C61" s="87"/>
      <c r="D61" s="58"/>
      <c r="E61" s="56"/>
      <c r="F61" s="56"/>
      <c r="G61" s="56"/>
      <c r="H61" s="56"/>
      <c r="I61" s="56"/>
      <c r="J61" s="56"/>
    </row>
    <row r="63" spans="2:10" x14ac:dyDescent="0.2">
      <c r="F63" s="2"/>
      <c r="G63" s="19"/>
    </row>
    <row r="64" spans="2:10" x14ac:dyDescent="0.2">
      <c r="F64" s="2"/>
      <c r="G64" s="2"/>
    </row>
    <row r="65" spans="2:24" ht="18" thickBot="1" x14ac:dyDescent="0.25">
      <c r="B65" s="44" t="s">
        <v>72</v>
      </c>
      <c r="C65" s="80" t="s">
        <v>96</v>
      </c>
      <c r="D65" s="43"/>
      <c r="E65" s="43"/>
      <c r="F65" s="43"/>
      <c r="G65" s="43"/>
      <c r="H65" s="43"/>
      <c r="I65" s="43" t="s">
        <v>145</v>
      </c>
      <c r="J65" s="43" t="s">
        <v>39</v>
      </c>
      <c r="K65" s="33" t="s">
        <v>40</v>
      </c>
      <c r="L65" s="33" t="s">
        <v>41</v>
      </c>
      <c r="M65" s="33" t="s">
        <v>42</v>
      </c>
      <c r="N65" s="33" t="s">
        <v>43</v>
      </c>
      <c r="O65" s="33" t="s">
        <v>83</v>
      </c>
      <c r="P65" s="33" t="s">
        <v>45</v>
      </c>
      <c r="Q65" s="33" t="s">
        <v>84</v>
      </c>
      <c r="R65" s="33" t="s">
        <v>47</v>
      </c>
      <c r="S65" s="33" t="s">
        <v>48</v>
      </c>
      <c r="T65" s="33" t="s">
        <v>49</v>
      </c>
      <c r="U65" s="33" t="s">
        <v>24</v>
      </c>
      <c r="V65" s="33" t="s">
        <v>85</v>
      </c>
    </row>
    <row r="66" spans="2:24" ht="16" thickTop="1" x14ac:dyDescent="0.2">
      <c r="B66" s="46"/>
      <c r="C66" s="116" t="s">
        <v>147</v>
      </c>
      <c r="D66" s="45"/>
      <c r="E66" s="45"/>
      <c r="F66" s="45"/>
      <c r="G66" s="113"/>
      <c r="H66" s="113"/>
      <c r="I66" s="114"/>
      <c r="J66" s="113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</row>
    <row r="67" spans="2:24" x14ac:dyDescent="0.2">
      <c r="B67" s="6">
        <f>'400'!B41</f>
        <v>146.51074672509696</v>
      </c>
      <c r="C67" s="29" t="s">
        <v>1</v>
      </c>
      <c r="D67" s="5"/>
      <c r="E67" s="41"/>
      <c r="F67" s="11"/>
      <c r="G67" s="21"/>
      <c r="H67" s="5">
        <f>D2</f>
        <v>12.96</v>
      </c>
      <c r="I67" s="92">
        <f>I68</f>
        <v>2.9297007375079405E-2</v>
      </c>
      <c r="J67" s="21">
        <f>I67/B67</f>
        <v>1.999649038036122E-4</v>
      </c>
      <c r="K67" s="23">
        <v>0.99857026424627104</v>
      </c>
      <c r="L67" s="23">
        <v>1.0990369323650568E-4</v>
      </c>
      <c r="M67" s="23">
        <v>4.878582991249243E-4</v>
      </c>
      <c r="N67" s="23">
        <v>2.6337639207643773E-4</v>
      </c>
      <c r="O67" s="23">
        <v>0.18080795473308686</v>
      </c>
      <c r="P67" s="23">
        <v>1.8155169739887416</v>
      </c>
      <c r="Q67" s="23">
        <v>3.096351427492748E-3</v>
      </c>
      <c r="R67" s="23">
        <v>1.8497795635051531E-3</v>
      </c>
      <c r="S67" s="23">
        <v>3.903047748392106E-4</v>
      </c>
      <c r="T67" s="23">
        <v>9.3199967874282619E-5</v>
      </c>
      <c r="U67" s="23">
        <v>4</v>
      </c>
      <c r="V67" s="25">
        <v>0</v>
      </c>
    </row>
    <row r="68" spans="2:24" x14ac:dyDescent="0.2">
      <c r="B68" s="6">
        <f>'400'!B42</f>
        <v>278.39399295087247</v>
      </c>
      <c r="C68" s="29" t="s">
        <v>14</v>
      </c>
      <c r="D68" s="5"/>
      <c r="E68" s="41"/>
      <c r="F68" s="102"/>
      <c r="G68" s="21"/>
      <c r="H68" s="5">
        <f>E2</f>
        <v>3.7</v>
      </c>
      <c r="I68" s="92">
        <v>2.9297007375079405E-2</v>
      </c>
      <c r="J68" s="21">
        <f>I68/B68</f>
        <v>1.052357741793997E-4</v>
      </c>
      <c r="K68" s="23">
        <v>1.9610798146953501</v>
      </c>
      <c r="L68" s="23">
        <v>1.43944958267027E-4</v>
      </c>
      <c r="M68" s="23">
        <v>2.0630703322935222</v>
      </c>
      <c r="N68" s="23">
        <v>1.1622088321737301E-4</v>
      </c>
      <c r="O68" s="23">
        <v>2.350491080704023E-2</v>
      </c>
      <c r="P68" s="23">
        <v>5.2505213464297115E-3</v>
      </c>
      <c r="Q68" s="23">
        <v>9.9974249442511182E-4</v>
      </c>
      <c r="R68" s="23">
        <v>0.93247861549666011</v>
      </c>
      <c r="S68" s="23">
        <v>4.0340863341323571E-2</v>
      </c>
      <c r="T68" s="23">
        <v>7.3685822486169021E-4</v>
      </c>
      <c r="U68" s="23">
        <v>8</v>
      </c>
      <c r="V68" s="25">
        <v>0</v>
      </c>
    </row>
    <row r="69" spans="2:24" x14ac:dyDescent="0.2">
      <c r="B69" s="123"/>
      <c r="C69" s="87" t="s">
        <v>6</v>
      </c>
      <c r="D69" s="66"/>
      <c r="E69" s="124"/>
      <c r="F69" s="58"/>
      <c r="G69" s="58"/>
      <c r="H69" s="60"/>
      <c r="I69" s="93">
        <f>I68+I67</f>
        <v>5.859401475015881E-2</v>
      </c>
      <c r="J69" s="58" t="s">
        <v>39</v>
      </c>
      <c r="K69" s="125">
        <f t="shared" ref="K69:Q69" si="2">SUMPRODUCT($J67:$J68,K67:K68)</f>
        <v>4.0605475935821204E-4</v>
      </c>
      <c r="L69" s="125">
        <f t="shared" si="2"/>
        <v>3.7125040568151528E-8</v>
      </c>
      <c r="M69" s="125">
        <f t="shared" si="2"/>
        <v>2.1720635814331452E-4</v>
      </c>
      <c r="N69" s="125">
        <f t="shared" si="2"/>
        <v>6.4896629526901179E-8</v>
      </c>
      <c r="O69" s="125">
        <f t="shared" si="2"/>
        <v>3.8628802760926198E-5</v>
      </c>
      <c r="P69" s="125">
        <f t="shared" si="2"/>
        <v>3.6359221973622079E-4</v>
      </c>
      <c r="Q69" s="125">
        <f t="shared" si="2"/>
        <v>7.2437029072163545E-7</v>
      </c>
      <c r="R69" s="125">
        <f>SUMPRODUCT(J67:J68,R67:R68)</f>
        <v>9.8499999999999995E-5</v>
      </c>
      <c r="S69" s="125">
        <f>SUMPRODUCT($J67:$J68,S67:S68)</f>
        <v>4.3233492415443643E-6</v>
      </c>
      <c r="T69" s="125">
        <f>SUMPRODUCT($J67:$J68,T67:T68)</f>
        <v>9.618056836425883E-8</v>
      </c>
      <c r="U69" s="125">
        <f>SUMPRODUCT($J67:$J68,U67:U68)</f>
        <v>1.6417458086496464E-3</v>
      </c>
      <c r="V69" s="125">
        <f>SUMPRODUCT($J67:$J68,V67:V68)</f>
        <v>0</v>
      </c>
      <c r="W69" s="158"/>
      <c r="X69" s="158"/>
    </row>
    <row r="70" spans="2:24" x14ac:dyDescent="0.2">
      <c r="H70" s="5">
        <f>SUM(H67:H68)</f>
        <v>16.66</v>
      </c>
      <c r="I70" s="110">
        <f>I69/H70</f>
        <v>3.5170477040911649E-3</v>
      </c>
      <c r="J70" s="2" t="s">
        <v>184</v>
      </c>
      <c r="K70" s="161">
        <f>K69*1000*1000</f>
        <v>406.05475935821204</v>
      </c>
      <c r="L70" s="161">
        <f t="shared" ref="L70:V70" si="3">L69*1000*1000</f>
        <v>3.7125040568151531E-2</v>
      </c>
      <c r="M70" s="161">
        <f t="shared" si="3"/>
        <v>217.2063581433145</v>
      </c>
      <c r="N70" s="161">
        <f t="shared" si="3"/>
        <v>6.4896629526901173E-2</v>
      </c>
      <c r="O70" s="161">
        <f t="shared" si="3"/>
        <v>38.628802760926199</v>
      </c>
      <c r="P70" s="161">
        <f t="shared" si="3"/>
        <v>363.59221973622078</v>
      </c>
      <c r="Q70" s="161">
        <f t="shared" si="3"/>
        <v>0.7243702907216355</v>
      </c>
      <c r="R70" s="161">
        <f t="shared" si="3"/>
        <v>98.499999999999986</v>
      </c>
      <c r="S70" s="161">
        <f t="shared" si="3"/>
        <v>4.3233492415443644</v>
      </c>
      <c r="T70" s="161">
        <f t="shared" si="3"/>
        <v>9.6180568364258839E-2</v>
      </c>
      <c r="U70" s="161">
        <f t="shared" si="3"/>
        <v>1641.7458086496463</v>
      </c>
      <c r="V70" s="160">
        <f t="shared" si="3"/>
        <v>0</v>
      </c>
      <c r="W70" s="158"/>
    </row>
    <row r="72" spans="2:24" ht="16" x14ac:dyDescent="0.2">
      <c r="B72" s="94" t="s">
        <v>148</v>
      </c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6"/>
      <c r="Q72" s="94"/>
      <c r="R72" s="94"/>
      <c r="T72" s="2" t="s">
        <v>185</v>
      </c>
      <c r="U72" s="2" t="s">
        <v>185</v>
      </c>
    </row>
    <row r="73" spans="2:24" ht="33" thickBot="1" x14ac:dyDescent="0.25">
      <c r="B73" s="141" t="s">
        <v>149</v>
      </c>
      <c r="C73" s="142" t="s">
        <v>150</v>
      </c>
      <c r="D73" s="143" t="s">
        <v>151</v>
      </c>
      <c r="E73" s="144" t="s">
        <v>152</v>
      </c>
      <c r="F73" s="144" t="s">
        <v>153</v>
      </c>
      <c r="G73" s="144" t="s">
        <v>154</v>
      </c>
      <c r="H73" s="145" t="s">
        <v>155</v>
      </c>
      <c r="I73" s="146" t="s">
        <v>90</v>
      </c>
      <c r="J73" s="146" t="s">
        <v>88</v>
      </c>
      <c r="K73" s="146" t="s">
        <v>87</v>
      </c>
      <c r="L73" s="146" t="s">
        <v>91</v>
      </c>
      <c r="M73" s="147" t="s">
        <v>156</v>
      </c>
      <c r="N73" s="143" t="s">
        <v>157</v>
      </c>
      <c r="O73" s="143" t="s">
        <v>158</v>
      </c>
      <c r="P73" s="142" t="s">
        <v>159</v>
      </c>
      <c r="Q73" s="148" t="s">
        <v>160</v>
      </c>
      <c r="R73" s="148" t="s">
        <v>161</v>
      </c>
      <c r="T73" s="147" t="s">
        <v>91</v>
      </c>
      <c r="U73" s="148" t="s">
        <v>160</v>
      </c>
    </row>
    <row r="74" spans="2:24" ht="16" thickTop="1" x14ac:dyDescent="0.2">
      <c r="B74" s="174" t="s">
        <v>162</v>
      </c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4"/>
      <c r="Q74" s="174"/>
      <c r="R74" s="174"/>
      <c r="T74" s="94"/>
      <c r="U74" s="159"/>
    </row>
    <row r="75" spans="2:24" x14ac:dyDescent="0.2">
      <c r="B75" s="94" t="s">
        <v>163</v>
      </c>
      <c r="C75" s="96">
        <v>0</v>
      </c>
      <c r="D75" s="96" t="s">
        <v>164</v>
      </c>
      <c r="E75" s="149">
        <v>54.150300000000001</v>
      </c>
      <c r="F75" s="96" t="s">
        <v>165</v>
      </c>
      <c r="G75" s="149">
        <v>53.070319008183468</v>
      </c>
      <c r="H75" s="149">
        <v>3.2626165859301568</v>
      </c>
      <c r="I75" s="150">
        <v>25.1721806032267</v>
      </c>
      <c r="J75" s="150">
        <v>0.19678450903383041</v>
      </c>
      <c r="K75" s="150">
        <v>4.6411760656399785</v>
      </c>
      <c r="L75" s="150">
        <v>0</v>
      </c>
      <c r="M75" s="150">
        <v>537.13909546990146</v>
      </c>
      <c r="N75" s="107">
        <v>5.9039999999999999</v>
      </c>
      <c r="O75" s="107" t="s">
        <v>165</v>
      </c>
      <c r="P75" s="149">
        <v>3</v>
      </c>
      <c r="Q75" s="96" t="s">
        <v>165</v>
      </c>
      <c r="R75" s="96" t="s">
        <v>165</v>
      </c>
      <c r="T75" s="94"/>
      <c r="U75" s="94"/>
    </row>
    <row r="76" spans="2:24" x14ac:dyDescent="0.2">
      <c r="B76" s="94" t="s">
        <v>166</v>
      </c>
      <c r="C76" s="150">
        <v>1</v>
      </c>
      <c r="D76" s="150" t="s">
        <v>167</v>
      </c>
      <c r="E76" s="149">
        <v>52.550900000000006</v>
      </c>
      <c r="F76" s="107">
        <v>1.5993999999999979</v>
      </c>
      <c r="G76" s="149">
        <v>51.540853886388447</v>
      </c>
      <c r="H76" s="149">
        <v>3.166250933892464</v>
      </c>
      <c r="I76" s="150">
        <v>152.95661210434312</v>
      </c>
      <c r="J76" s="150">
        <v>6.0059916280577665</v>
      </c>
      <c r="K76" s="150">
        <v>31.197078215655189</v>
      </c>
      <c r="L76" s="150">
        <v>29.099917091401757</v>
      </c>
      <c r="M76" s="150">
        <v>537.1390954699018</v>
      </c>
      <c r="N76" s="107">
        <v>6.5289999999999999</v>
      </c>
      <c r="O76" s="107" t="s">
        <v>168</v>
      </c>
      <c r="P76" s="149">
        <v>3</v>
      </c>
      <c r="Q76" s="150">
        <v>0.98005586318420146</v>
      </c>
      <c r="R76" s="150">
        <v>0.13434955257501249</v>
      </c>
      <c r="T76" s="149">
        <f t="shared" ref="T76" si="4">L76*G76/1000</f>
        <v>1.4998345749139557</v>
      </c>
      <c r="U76" s="149">
        <f t="shared" ref="U76" si="5">Q76*G76/1000</f>
        <v>5.0512916044875233E-2</v>
      </c>
    </row>
    <row r="77" spans="2:24" x14ac:dyDescent="0.2">
      <c r="B77" s="94" t="s">
        <v>169</v>
      </c>
      <c r="C77" s="150">
        <v>238</v>
      </c>
      <c r="D77" s="150" t="s">
        <v>170</v>
      </c>
      <c r="E77" s="149">
        <v>49.402600000000007</v>
      </c>
      <c r="F77" s="107">
        <v>3.1482999999999977</v>
      </c>
      <c r="G77" s="149">
        <v>48.417307786543837</v>
      </c>
      <c r="H77" s="149">
        <v>2.9765623117152291</v>
      </c>
      <c r="I77" s="150">
        <v>14.213707239531125</v>
      </c>
      <c r="J77" s="150">
        <v>1.2857514910150032</v>
      </c>
      <c r="K77" s="150">
        <v>33.988763067167966</v>
      </c>
      <c r="L77" s="150">
        <v>2034.5488252139719</v>
      </c>
      <c r="M77" s="150">
        <v>537.1390954699018</v>
      </c>
      <c r="N77" s="107">
        <v>9.3279999999999994</v>
      </c>
      <c r="O77" s="107">
        <v>6.4225000000000003</v>
      </c>
      <c r="P77" s="149">
        <v>3.1</v>
      </c>
      <c r="Q77" s="150">
        <v>5222.2026861783079</v>
      </c>
      <c r="R77" s="150">
        <v>12.372327657729992</v>
      </c>
      <c r="T77" s="149">
        <f>L77*G77/1000</f>
        <v>98.507376677136051</v>
      </c>
      <c r="U77" s="149">
        <f>Q77*G77/1000</f>
        <v>252.84499478041113</v>
      </c>
    </row>
    <row r="78" spans="2:24" x14ac:dyDescent="0.2">
      <c r="B78" s="94" t="s">
        <v>171</v>
      </c>
      <c r="C78" s="150">
        <v>646</v>
      </c>
      <c r="D78" s="150" t="s">
        <v>170</v>
      </c>
      <c r="E78" s="149">
        <v>46.081100000000006</v>
      </c>
      <c r="F78" s="107">
        <v>3.3215000000000008</v>
      </c>
      <c r="G78" s="149">
        <v>45.162052236977509</v>
      </c>
      <c r="H78" s="149">
        <v>2.7764381943942356</v>
      </c>
      <c r="I78" s="150">
        <v>4.2711536141596271</v>
      </c>
      <c r="J78" s="150">
        <v>0.50254261401835809</v>
      </c>
      <c r="K78" s="150">
        <v>8.793807282265222</v>
      </c>
      <c r="L78" s="150">
        <v>1484.3403087799047</v>
      </c>
      <c r="M78" s="150">
        <v>541.40210416410753</v>
      </c>
      <c r="N78" s="107">
        <v>9.6039999999999992</v>
      </c>
      <c r="O78" s="107">
        <v>6.54</v>
      </c>
      <c r="P78" s="149">
        <v>3.1</v>
      </c>
      <c r="Q78" s="150">
        <v>10164.324695632826</v>
      </c>
      <c r="R78" s="150">
        <v>17.081580636309148</v>
      </c>
      <c r="T78" s="149">
        <f t="shared" ref="T78:T88" si="6">L78*G78/1000</f>
        <v>67.035854562569384</v>
      </c>
      <c r="U78" s="149">
        <f t="shared" ref="U78:U88" si="7">Q78*G78/1000</f>
        <v>459.04176285777021</v>
      </c>
    </row>
    <row r="79" spans="2:24" x14ac:dyDescent="0.2">
      <c r="B79" s="94" t="s">
        <v>172</v>
      </c>
      <c r="C79" s="150">
        <v>1174</v>
      </c>
      <c r="D79" s="150" t="s">
        <v>170</v>
      </c>
      <c r="E79" s="149">
        <v>43.008600000000015</v>
      </c>
      <c r="F79" s="107">
        <v>3.0724999999999962</v>
      </c>
      <c r="G79" s="149">
        <v>42.119664481125859</v>
      </c>
      <c r="H79" s="149">
        <v>2.5913166076205632</v>
      </c>
      <c r="I79" s="150">
        <v>3.2602008900806458</v>
      </c>
      <c r="J79" s="150">
        <v>0.42057113537299573</v>
      </c>
      <c r="K79" s="150">
        <v>7.2234845532892891</v>
      </c>
      <c r="L79" s="150">
        <v>1183.5596531292813</v>
      </c>
      <c r="M79" s="150">
        <v>545.66511285831314</v>
      </c>
      <c r="N79" s="107">
        <v>10.326000000000001</v>
      </c>
      <c r="O79" s="107">
        <v>7.2355</v>
      </c>
      <c r="P79" s="149">
        <v>3.2</v>
      </c>
      <c r="Q79" s="150">
        <v>20073.401143643954</v>
      </c>
      <c r="R79" s="150">
        <v>35.041893335762857</v>
      </c>
      <c r="T79" s="149">
        <f t="shared" si="6"/>
        <v>49.851135483203031</v>
      </c>
      <c r="U79" s="149">
        <f t="shared" si="7"/>
        <v>845.48492116533146</v>
      </c>
    </row>
    <row r="80" spans="2:24" x14ac:dyDescent="0.2">
      <c r="B80" s="94" t="s">
        <v>173</v>
      </c>
      <c r="C80" s="150">
        <v>1822</v>
      </c>
      <c r="D80" s="150" t="s">
        <v>174</v>
      </c>
      <c r="E80" s="149">
        <v>39.79040000000002</v>
      </c>
      <c r="F80" s="107">
        <v>3.2181999999999955</v>
      </c>
      <c r="G80" s="149">
        <v>38.967980765934968</v>
      </c>
      <c r="H80" s="149">
        <v>2.3974164316872737</v>
      </c>
      <c r="I80" s="150">
        <v>24.274183702529882</v>
      </c>
      <c r="J80" s="150">
        <v>0.20023564529865126</v>
      </c>
      <c r="K80" s="150">
        <v>0</v>
      </c>
      <c r="L80" s="150">
        <v>1721.5413136425914</v>
      </c>
      <c r="M80" s="150">
        <v>545.66511285831314</v>
      </c>
      <c r="N80" s="107">
        <v>10.872999999999999</v>
      </c>
      <c r="O80" s="107" t="s">
        <v>165</v>
      </c>
      <c r="P80" s="149">
        <v>3.2</v>
      </c>
      <c r="Q80" s="150">
        <v>3089.7147492336289</v>
      </c>
      <c r="R80" s="150">
        <v>9.497744920943358</v>
      </c>
      <c r="T80" s="149">
        <f t="shared" si="6"/>
        <v>67.08498879778692</v>
      </c>
      <c r="U80" s="149">
        <f t="shared" si="7"/>
        <v>120.39994492036163</v>
      </c>
    </row>
    <row r="81" spans="2:21" ht="16" x14ac:dyDescent="0.2">
      <c r="B81" s="94"/>
      <c r="C81" s="150"/>
      <c r="D81" s="150"/>
      <c r="E81" s="96"/>
      <c r="F81" s="96"/>
      <c r="G81" s="96"/>
      <c r="H81" s="96"/>
      <c r="I81" s="151"/>
      <c r="J81" s="151"/>
      <c r="K81" s="151"/>
      <c r="L81" s="151"/>
      <c r="M81" s="152"/>
      <c r="N81" s="107"/>
      <c r="O81" s="96"/>
      <c r="P81" s="96"/>
      <c r="Q81" s="96"/>
      <c r="R81" s="150"/>
      <c r="T81" s="149"/>
      <c r="U81" s="149"/>
    </row>
    <row r="82" spans="2:21" x14ac:dyDescent="0.2">
      <c r="B82" s="175" t="s">
        <v>175</v>
      </c>
      <c r="C82" s="175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T82" s="149"/>
      <c r="U82" s="149"/>
    </row>
    <row r="83" spans="2:21" x14ac:dyDescent="0.2">
      <c r="B83" s="94" t="s">
        <v>176</v>
      </c>
      <c r="C83" s="150">
        <v>0</v>
      </c>
      <c r="D83" s="96" t="s">
        <v>164</v>
      </c>
      <c r="E83" s="149">
        <v>54.344900000000003</v>
      </c>
      <c r="F83" s="96" t="s">
        <v>165</v>
      </c>
      <c r="G83" s="149">
        <v>53.261037879159112</v>
      </c>
      <c r="H83" s="149">
        <v>3.2659194711538464</v>
      </c>
      <c r="I83" s="150">
        <v>25.1721806032267</v>
      </c>
      <c r="J83" s="150">
        <v>0.19678450903383041</v>
      </c>
      <c r="K83" s="150">
        <v>4.6411760656399785</v>
      </c>
      <c r="L83" s="150">
        <v>0</v>
      </c>
      <c r="M83" s="150">
        <v>537.1390954699018</v>
      </c>
      <c r="N83" s="107">
        <v>5.9039999999999999</v>
      </c>
      <c r="O83" s="107" t="s">
        <v>165</v>
      </c>
      <c r="P83" s="149">
        <v>3</v>
      </c>
      <c r="Q83" s="96" t="s">
        <v>165</v>
      </c>
      <c r="R83" s="150"/>
      <c r="T83" s="149"/>
      <c r="U83" s="149"/>
    </row>
    <row r="84" spans="2:21" x14ac:dyDescent="0.2">
      <c r="B84" s="94" t="s">
        <v>177</v>
      </c>
      <c r="C84" s="96">
        <v>1</v>
      </c>
      <c r="D84" s="150" t="s">
        <v>167</v>
      </c>
      <c r="E84" s="149">
        <v>52.696199999999997</v>
      </c>
      <c r="F84" s="107">
        <v>1.6487000000000029</v>
      </c>
      <c r="G84" s="149">
        <v>51.68336117112937</v>
      </c>
      <c r="H84" s="149">
        <v>3.1668389423076921</v>
      </c>
      <c r="I84" s="150">
        <v>152.77544552193351</v>
      </c>
      <c r="J84" s="150">
        <v>8.2076276805952197</v>
      </c>
      <c r="K84" s="150">
        <v>30.778325487928281</v>
      </c>
      <c r="L84" s="150">
        <v>19.440700914003699</v>
      </c>
      <c r="M84" s="150">
        <v>520.08706069307948</v>
      </c>
      <c r="N84" s="107">
        <v>6.74</v>
      </c>
      <c r="O84" s="107" t="s">
        <v>178</v>
      </c>
      <c r="P84" s="149">
        <v>3</v>
      </c>
      <c r="Q84" s="150">
        <v>0.98005586318420146</v>
      </c>
      <c r="R84" s="150">
        <v>8.3435775281272787E-2</v>
      </c>
      <c r="T84" s="149">
        <f t="shared" si="6"/>
        <v>1.004760766758358</v>
      </c>
      <c r="U84" s="149">
        <f t="shared" si="7"/>
        <v>5.0652581144832037E-2</v>
      </c>
    </row>
    <row r="85" spans="2:21" x14ac:dyDescent="0.2">
      <c r="B85" s="94" t="s">
        <v>179</v>
      </c>
      <c r="C85" s="96">
        <v>238</v>
      </c>
      <c r="D85" s="150" t="s">
        <v>170</v>
      </c>
      <c r="E85" s="149">
        <v>49.207500000000003</v>
      </c>
      <c r="F85" s="107">
        <v>3.4886999999999979</v>
      </c>
      <c r="G85" s="149">
        <v>48.226098887636596</v>
      </c>
      <c r="H85" s="149">
        <v>2.9571814903846154</v>
      </c>
      <c r="I85" s="150">
        <v>19.344343030761969</v>
      </c>
      <c r="J85" s="150">
        <v>0.49763234562262626</v>
      </c>
      <c r="K85" s="150">
        <v>425.73193985569719</v>
      </c>
      <c r="L85" s="150">
        <v>3472.4270814949991</v>
      </c>
      <c r="M85" s="150">
        <v>562.71714763513523</v>
      </c>
      <c r="N85" s="107">
        <v>5.9489999999999998</v>
      </c>
      <c r="O85" s="107">
        <v>6.1596000000000002</v>
      </c>
      <c r="P85" s="149">
        <v>3.1</v>
      </c>
      <c r="Q85" s="150">
        <v>3959.0042458015701</v>
      </c>
      <c r="R85" s="150">
        <v>247.34810184850772</v>
      </c>
      <c r="T85" s="149">
        <f t="shared" si="6"/>
        <v>167.46161181228518</v>
      </c>
      <c r="U85" s="149">
        <f t="shared" si="7"/>
        <v>190.92733025459967</v>
      </c>
    </row>
    <row r="86" spans="2:21" x14ac:dyDescent="0.2">
      <c r="B86" s="94" t="s">
        <v>180</v>
      </c>
      <c r="C86" s="96">
        <v>646</v>
      </c>
      <c r="D86" s="150" t="s">
        <v>170</v>
      </c>
      <c r="E86" s="149">
        <v>45.597099999999998</v>
      </c>
      <c r="F86" s="107">
        <v>3.6104000000000025</v>
      </c>
      <c r="G86" s="149">
        <v>44.654663330411665</v>
      </c>
      <c r="H86" s="149">
        <v>2.7402103365384614</v>
      </c>
      <c r="I86" s="150">
        <v>13.129558596730568</v>
      </c>
      <c r="J86" s="150">
        <v>0.31470432486309546</v>
      </c>
      <c r="K86" s="150">
        <v>554.84736423816287</v>
      </c>
      <c r="L86" s="150">
        <v>1821.801532192799</v>
      </c>
      <c r="M86" s="150">
        <v>545.66511285831314</v>
      </c>
      <c r="N86" s="107">
        <v>5.87</v>
      </c>
      <c r="O86" s="107">
        <v>6.1748000000000003</v>
      </c>
      <c r="P86" s="149">
        <v>3.15</v>
      </c>
      <c r="Q86" s="150">
        <v>1446.8342973479516</v>
      </c>
      <c r="R86" s="150">
        <v>159.29016101511422</v>
      </c>
      <c r="T86" s="149">
        <f t="shared" si="6"/>
        <v>81.351934074897571</v>
      </c>
      <c r="U86" s="149">
        <f t="shared" si="7"/>
        <v>64.607898442965507</v>
      </c>
    </row>
    <row r="87" spans="2:21" x14ac:dyDescent="0.2">
      <c r="B87" s="94" t="s">
        <v>181</v>
      </c>
      <c r="C87" s="96">
        <v>1174</v>
      </c>
      <c r="D87" s="150" t="s">
        <v>170</v>
      </c>
      <c r="E87" s="149">
        <v>42.334499999999998</v>
      </c>
      <c r="F87" s="107">
        <v>3.2625999999999977</v>
      </c>
      <c r="G87" s="149">
        <v>41.459497309287492</v>
      </c>
      <c r="H87" s="149">
        <v>2.5441406249999998</v>
      </c>
      <c r="I87" s="150">
        <v>6.9455794898844498</v>
      </c>
      <c r="J87" s="150">
        <v>9.354391841601048E-2</v>
      </c>
      <c r="K87" s="150">
        <v>795.6301826811391</v>
      </c>
      <c r="L87" s="150">
        <v>1144.4337141828589</v>
      </c>
      <c r="M87" s="150">
        <v>571.24316502354645</v>
      </c>
      <c r="N87" s="107">
        <v>6.298</v>
      </c>
      <c r="O87" s="107">
        <v>6.2445000000000004</v>
      </c>
      <c r="P87" s="149">
        <v>3.2</v>
      </c>
      <c r="Q87" s="150">
        <v>233.38500330184408</v>
      </c>
      <c r="R87" s="150">
        <v>70.860678934965634</v>
      </c>
      <c r="T87" s="149">
        <f t="shared" si="6"/>
        <v>47.447646493822134</v>
      </c>
      <c r="U87" s="149">
        <f t="shared" si="7"/>
        <v>9.6760249164208556</v>
      </c>
    </row>
    <row r="88" spans="2:21" x14ac:dyDescent="0.2">
      <c r="B88" s="153" t="s">
        <v>182</v>
      </c>
      <c r="C88" s="154">
        <v>1822</v>
      </c>
      <c r="D88" s="155" t="s">
        <v>174</v>
      </c>
      <c r="E88" s="156">
        <v>39.141899999999993</v>
      </c>
      <c r="F88" s="157">
        <v>3.1926000000000032</v>
      </c>
      <c r="G88" s="156">
        <v>38.332884473193253</v>
      </c>
      <c r="H88" s="156">
        <v>2.3522776442307687</v>
      </c>
      <c r="I88" s="155">
        <v>127.29623505017875</v>
      </c>
      <c r="J88" s="155">
        <v>0.38148768008555994</v>
      </c>
      <c r="K88" s="155">
        <v>162.61564260061877</v>
      </c>
      <c r="L88" s="155">
        <v>1208.0133649707957</v>
      </c>
      <c r="M88" s="155">
        <v>545.66511285831314</v>
      </c>
      <c r="N88" s="157">
        <v>8.6050000000000004</v>
      </c>
      <c r="O88" s="157" t="s">
        <v>165</v>
      </c>
      <c r="P88" s="156">
        <v>3.2</v>
      </c>
      <c r="Q88" s="155">
        <v>231.72241176862931</v>
      </c>
      <c r="R88" s="155">
        <v>115.28447206970193</v>
      </c>
      <c r="T88" s="156">
        <f t="shared" si="6"/>
        <v>46.30663676149895</v>
      </c>
      <c r="U88" s="156">
        <f t="shared" si="7"/>
        <v>8.8825884401765833</v>
      </c>
    </row>
    <row r="89" spans="2:21" x14ac:dyDescent="0.2">
      <c r="B89" s="94" t="s">
        <v>183</v>
      </c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6"/>
      <c r="Q89" s="94"/>
      <c r="R89" s="94"/>
    </row>
  </sheetData>
  <mergeCells count="2">
    <mergeCell ref="B74:R74"/>
    <mergeCell ref="B82:R8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300</vt:lpstr>
      <vt:lpstr>400</vt:lpstr>
      <vt:lpstr>Additional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Christine Elrod</cp:lastModifiedBy>
  <cp:lastPrinted>2021-03-30T14:05:29Z</cp:lastPrinted>
  <dcterms:created xsi:type="dcterms:W3CDTF">2015-06-05T18:19:34Z</dcterms:created>
  <dcterms:modified xsi:type="dcterms:W3CDTF">2022-03-31T22:03:12Z</dcterms:modified>
</cp:coreProperties>
</file>