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1_5897R Grew-Cent/AM-17-85897/"/>
    </mc:Choice>
  </mc:AlternateContent>
  <bookViews>
    <workbookView xWindow="8200" yWindow="5800" windowWidth="27060" windowHeight="19880" tabRatio="587"/>
  </bookViews>
  <sheets>
    <sheet name="Table 1" sheetId="2" r:id="rId1"/>
    <sheet name="Table 2" sheetId="22" r:id="rId2"/>
  </sheets>
  <definedNames>
    <definedName name="_xlnm.Print_Area" localSheetId="1">'Table 2'!$B$3:$O$305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08" i="22" l="1"/>
  <c r="E309" i="22"/>
  <c r="F308" i="22"/>
  <c r="F309" i="22"/>
  <c r="G308" i="22"/>
  <c r="G309" i="22"/>
  <c r="D308" i="22"/>
  <c r="D309" i="22"/>
  <c r="J311" i="2"/>
  <c r="G312" i="2"/>
  <c r="F312" i="2"/>
  <c r="J280" i="2"/>
  <c r="J278" i="2"/>
  <c r="J6" i="2"/>
  <c r="J310" i="2"/>
  <c r="J293" i="2"/>
  <c r="J292" i="2"/>
  <c r="J286" i="2"/>
  <c r="J284" i="2"/>
  <c r="J273" i="2"/>
  <c r="J268" i="2"/>
  <c r="J266" i="2"/>
  <c r="J237" i="2"/>
  <c r="J235" i="2"/>
  <c r="J218" i="2"/>
  <c r="J215" i="2"/>
  <c r="J211" i="2"/>
  <c r="J206" i="2"/>
  <c r="J199" i="2"/>
  <c r="J197" i="2"/>
  <c r="J194" i="2"/>
  <c r="J191" i="2"/>
  <c r="J189" i="2"/>
  <c r="J188" i="2"/>
  <c r="J186" i="2"/>
  <c r="J174" i="2"/>
  <c r="J161" i="2"/>
  <c r="J83" i="2"/>
  <c r="J158" i="2"/>
  <c r="J157" i="2"/>
  <c r="J145" i="2"/>
  <c r="J141" i="2"/>
  <c r="J136" i="2"/>
  <c r="J133" i="2"/>
  <c r="J120" i="2"/>
  <c r="J114" i="2"/>
  <c r="J128" i="2"/>
  <c r="J95" i="2"/>
  <c r="J94" i="2"/>
  <c r="J89" i="2"/>
  <c r="J74" i="2"/>
  <c r="J84" i="2"/>
  <c r="J69" i="2"/>
  <c r="J59" i="2"/>
  <c r="J52" i="2"/>
  <c r="J48" i="2"/>
  <c r="J34" i="2"/>
  <c r="J33" i="2"/>
  <c r="J32" i="2"/>
  <c r="J7" i="2"/>
  <c r="J175" i="2"/>
  <c r="J255" i="2"/>
  <c r="J307" i="2"/>
  <c r="J304" i="2"/>
  <c r="J299" i="2"/>
  <c r="J184" i="2"/>
  <c r="J301" i="2"/>
  <c r="J298" i="2"/>
  <c r="J296" i="2"/>
  <c r="J291" i="2"/>
  <c r="J290" i="2"/>
  <c r="J289" i="2"/>
  <c r="J287" i="2"/>
  <c r="J285" i="2"/>
  <c r="J283" i="2"/>
  <c r="J282" i="2"/>
  <c r="J281" i="2"/>
  <c r="J277" i="2"/>
  <c r="J276" i="2"/>
  <c r="J271" i="2"/>
  <c r="J270" i="2"/>
  <c r="J269" i="2"/>
  <c r="J267" i="2"/>
  <c r="J265" i="2"/>
  <c r="J263" i="2"/>
  <c r="J262" i="2"/>
  <c r="J258" i="2"/>
  <c r="J253" i="2"/>
  <c r="J252" i="2"/>
  <c r="J250" i="2"/>
  <c r="J249" i="2"/>
  <c r="J247" i="2"/>
  <c r="J246" i="2"/>
  <c r="J245" i="2"/>
  <c r="J244" i="2"/>
  <c r="J243" i="2"/>
  <c r="J242" i="2"/>
  <c r="J241" i="2"/>
  <c r="J240" i="2"/>
  <c r="I239" i="2"/>
  <c r="J239" i="2"/>
  <c r="J238" i="2"/>
  <c r="J233" i="2"/>
  <c r="J231" i="2"/>
  <c r="J229" i="2"/>
  <c r="J227" i="2"/>
  <c r="J226" i="2"/>
  <c r="J224" i="2"/>
  <c r="J222" i="2"/>
  <c r="J221" i="2"/>
  <c r="J220" i="2"/>
  <c r="J219" i="2"/>
  <c r="J216" i="2"/>
  <c r="J214" i="2"/>
  <c r="J209" i="2"/>
  <c r="J205" i="2"/>
  <c r="J204" i="2"/>
  <c r="J200" i="2"/>
  <c r="J196" i="2"/>
  <c r="J195" i="2"/>
  <c r="J193" i="2"/>
  <c r="J192" i="2"/>
  <c r="I190" i="2"/>
  <c r="J190" i="2"/>
  <c r="J187" i="2"/>
  <c r="J183" i="2"/>
  <c r="J182" i="2"/>
  <c r="J180" i="2"/>
  <c r="J179" i="2"/>
  <c r="J178" i="2"/>
  <c r="J177" i="2"/>
  <c r="J176" i="2"/>
  <c r="J173" i="2"/>
  <c r="J172" i="2"/>
  <c r="J171" i="2"/>
  <c r="J170" i="2"/>
  <c r="J167" i="2"/>
  <c r="J165" i="2"/>
  <c r="J163" i="2"/>
  <c r="J162" i="2"/>
  <c r="J159" i="2"/>
  <c r="J154" i="2"/>
  <c r="J153" i="2"/>
  <c r="J152" i="2"/>
  <c r="J151" i="2"/>
  <c r="J150" i="2"/>
  <c r="J148" i="2"/>
  <c r="J146" i="2"/>
  <c r="J144" i="2"/>
  <c r="J143" i="2"/>
  <c r="J140" i="2"/>
  <c r="J138" i="2"/>
  <c r="J135" i="2"/>
  <c r="J134" i="2"/>
  <c r="J132" i="2"/>
  <c r="J131" i="2"/>
  <c r="J130" i="2"/>
  <c r="J129" i="2"/>
  <c r="J127" i="2"/>
  <c r="J126" i="2"/>
  <c r="J122" i="2"/>
  <c r="J121" i="2"/>
  <c r="J119" i="2"/>
  <c r="J118" i="2"/>
  <c r="J117" i="2"/>
  <c r="J116" i="2"/>
  <c r="J115" i="2"/>
  <c r="J112" i="2"/>
  <c r="J111" i="2"/>
  <c r="J110" i="2"/>
  <c r="J109" i="2"/>
  <c r="J107" i="2"/>
  <c r="J106" i="2"/>
  <c r="J105" i="2"/>
  <c r="J104" i="2"/>
  <c r="J102" i="2"/>
  <c r="J100" i="2"/>
  <c r="J99" i="2"/>
  <c r="J98" i="2"/>
  <c r="J97" i="2"/>
  <c r="J96" i="2"/>
  <c r="J93" i="2"/>
  <c r="J92" i="2"/>
  <c r="J91" i="2"/>
  <c r="J90" i="2"/>
  <c r="J88" i="2"/>
  <c r="J87" i="2"/>
  <c r="J85" i="2"/>
  <c r="J82" i="2"/>
  <c r="J80" i="2"/>
  <c r="J79" i="2"/>
  <c r="J77" i="2"/>
  <c r="J75" i="2"/>
  <c r="J73" i="2"/>
  <c r="J70" i="2"/>
  <c r="J68" i="2"/>
  <c r="J67" i="2"/>
  <c r="J62" i="2"/>
  <c r="J60" i="2"/>
  <c r="J58" i="2"/>
  <c r="J54" i="2"/>
  <c r="J53" i="2"/>
  <c r="J51" i="2"/>
  <c r="J50" i="2"/>
  <c r="J49" i="2"/>
  <c r="J47" i="2"/>
  <c r="J46" i="2"/>
  <c r="J45" i="2"/>
  <c r="J44" i="2"/>
  <c r="J43" i="2"/>
  <c r="J41" i="2"/>
  <c r="J39" i="2"/>
  <c r="J38" i="2"/>
  <c r="J37" i="2"/>
  <c r="J36" i="2"/>
  <c r="J35" i="2"/>
  <c r="J31" i="2"/>
  <c r="J30" i="2"/>
  <c r="J28" i="2"/>
  <c r="J26" i="2"/>
  <c r="J25" i="2"/>
  <c r="J23" i="2"/>
  <c r="J22" i="2"/>
  <c r="J21" i="2"/>
  <c r="J20" i="2"/>
  <c r="J18" i="2"/>
  <c r="J17" i="2"/>
  <c r="J15" i="2"/>
  <c r="J14" i="2"/>
  <c r="J13" i="2"/>
  <c r="J12" i="2"/>
  <c r="J11" i="2"/>
  <c r="J10" i="2"/>
  <c r="J9" i="2"/>
  <c r="J8" i="2"/>
  <c r="J5" i="2"/>
</calcChain>
</file>

<file path=xl/sharedStrings.xml><?xml version="1.0" encoding="utf-8"?>
<sst xmlns="http://schemas.openxmlformats.org/spreadsheetml/2006/main" count="3189" uniqueCount="1632">
  <si>
    <t>holtite</t>
  </si>
  <si>
    <t>bonaccordite</t>
  </si>
  <si>
    <t>dravite</t>
  </si>
  <si>
    <t>elbaite</t>
  </si>
  <si>
    <t>werdingite</t>
  </si>
  <si>
    <t>KCaNaAl4B4Si2O18</t>
  </si>
  <si>
    <t>serendibite</t>
  </si>
  <si>
    <t>prismatine</t>
  </si>
  <si>
    <t>painite</t>
  </si>
  <si>
    <t>aksaite</t>
  </si>
  <si>
    <t>"Fluor-feruvite"</t>
  </si>
  <si>
    <t>"Potassium-povondraite"</t>
  </si>
  <si>
    <t>ciprianiite</t>
  </si>
  <si>
    <t>azoproite</t>
  </si>
  <si>
    <t>fluor-liddicoatite</t>
  </si>
  <si>
    <t>"Liddicoatite"</t>
  </si>
  <si>
    <t>chromium-dravite</t>
  </si>
  <si>
    <t>wiluite</t>
  </si>
  <si>
    <t>olenite</t>
  </si>
  <si>
    <t>magnesiodumortierite</t>
  </si>
  <si>
    <t>grandidierite</t>
  </si>
  <si>
    <t>seamanite</t>
  </si>
  <si>
    <t>datolite</t>
  </si>
  <si>
    <t>borcarite</t>
  </si>
  <si>
    <t>Galliski et al. (2010)</t>
  </si>
  <si>
    <t>yuanfuliite</t>
  </si>
  <si>
    <t>chambersite</t>
  </si>
  <si>
    <t>povondraite</t>
  </si>
  <si>
    <t>teepleite</t>
  </si>
  <si>
    <t>johachidolite</t>
  </si>
  <si>
    <t>jeremejevite</t>
  </si>
  <si>
    <t>karlite</t>
  </si>
  <si>
    <t>mcallisterite</t>
  </si>
  <si>
    <t>nagashimalite</t>
  </si>
  <si>
    <t>leucosphenite</t>
  </si>
  <si>
    <t>schorl</t>
  </si>
  <si>
    <t>dumortierite</t>
  </si>
  <si>
    <t>B-1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</si>
  <si>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</si>
  <si>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</si>
  <si>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</si>
  <si>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</si>
  <si>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</si>
  <si>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</si>
  <si>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</si>
  <si>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</si>
  <si>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</si>
  <si>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</si>
  <si>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</si>
  <si>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</si>
  <si>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</si>
  <si>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</si>
  <si>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</si>
  <si>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</si>
  <si>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</si>
  <si>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</si>
  <si>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</si>
  <si>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</si>
  <si>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</si>
  <si>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</si>
  <si>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</si>
  <si>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</si>
  <si>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</si>
  <si>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</si>
  <si>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</si>
  <si>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</si>
  <si>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B-30</t>
  </si>
  <si>
    <t>B-31</t>
  </si>
  <si>
    <t>B-32</t>
  </si>
  <si>
    <t>B-33</t>
  </si>
  <si>
    <t>B-34</t>
  </si>
  <si>
    <t>B-35</t>
  </si>
  <si>
    <t>B-36</t>
  </si>
  <si>
    <t>B-37</t>
  </si>
  <si>
    <t>B-38</t>
  </si>
  <si>
    <t>B-39</t>
  </si>
  <si>
    <t>B-40</t>
  </si>
  <si>
    <t>B-41</t>
  </si>
  <si>
    <t>B-42</t>
  </si>
  <si>
    <t>B-43</t>
  </si>
  <si>
    <t>B-44</t>
  </si>
  <si>
    <t>B-45</t>
  </si>
  <si>
    <t>B-46</t>
  </si>
  <si>
    <t>B-47</t>
  </si>
  <si>
    <t>B-48</t>
  </si>
  <si>
    <t>B-49</t>
  </si>
  <si>
    <t>B-50</t>
  </si>
  <si>
    <t>B-51</t>
  </si>
  <si>
    <t>B-52</t>
  </si>
  <si>
    <t>B-53</t>
  </si>
  <si>
    <t>B-54</t>
  </si>
  <si>
    <t>B-55</t>
  </si>
  <si>
    <t>B-56</t>
  </si>
  <si>
    <t>B-57</t>
  </si>
  <si>
    <t>B-58</t>
  </si>
  <si>
    <t>B-59</t>
  </si>
  <si>
    <t>B-60</t>
  </si>
  <si>
    <t>B-61</t>
  </si>
  <si>
    <t>B-62</t>
  </si>
  <si>
    <t>B-63</t>
  </si>
  <si>
    <t>B-64</t>
  </si>
  <si>
    <t>B-65</t>
  </si>
  <si>
    <t>B-66</t>
  </si>
  <si>
    <t>B-67</t>
  </si>
  <si>
    <t>B-68</t>
  </si>
  <si>
    <t>B-69</t>
  </si>
  <si>
    <t>B-70</t>
  </si>
  <si>
    <t>B-71</t>
  </si>
  <si>
    <t>B-72</t>
  </si>
  <si>
    <t>B-73</t>
  </si>
  <si>
    <t>B-74</t>
  </si>
  <si>
    <t>B-75</t>
  </si>
  <si>
    <t>B-76</t>
  </si>
  <si>
    <t>B-77</t>
  </si>
  <si>
    <t>B-78</t>
  </si>
  <si>
    <t>B-79</t>
  </si>
  <si>
    <t>B-80</t>
  </si>
  <si>
    <t>B-81</t>
  </si>
  <si>
    <t>B-82</t>
  </si>
  <si>
    <t>B-83</t>
  </si>
  <si>
    <t>B-84</t>
  </si>
  <si>
    <t>B-85</t>
  </si>
  <si>
    <t>B-86</t>
  </si>
  <si>
    <t>B-87</t>
  </si>
  <si>
    <t>B-88</t>
  </si>
  <si>
    <t>B-89</t>
  </si>
  <si>
    <t>B-90</t>
  </si>
  <si>
    <t>B-91</t>
  </si>
  <si>
    <t>B-92</t>
  </si>
  <si>
    <t>B-93</t>
  </si>
  <si>
    <t>B-94</t>
  </si>
  <si>
    <t>B-95</t>
  </si>
  <si>
    <t>B-96</t>
  </si>
  <si>
    <t>B-97</t>
  </si>
  <si>
    <t>B-98</t>
  </si>
  <si>
    <t>B-99</t>
  </si>
  <si>
    <t>B-100</t>
  </si>
  <si>
    <t>B-101</t>
  </si>
  <si>
    <t>B-102</t>
  </si>
  <si>
    <t>B-103</t>
  </si>
  <si>
    <t>B-104</t>
  </si>
  <si>
    <t>B-105</t>
  </si>
  <si>
    <t>B-106</t>
  </si>
  <si>
    <t>B-107</t>
  </si>
  <si>
    <t>B-108</t>
  </si>
  <si>
    <t>B-109</t>
  </si>
  <si>
    <t>B-110</t>
  </si>
  <si>
    <t>B-111</t>
  </si>
  <si>
    <t>B-112</t>
  </si>
  <si>
    <t>B-113</t>
  </si>
  <si>
    <t>B-114</t>
  </si>
  <si>
    <t>B-115</t>
  </si>
  <si>
    <t>B-116</t>
  </si>
  <si>
    <t>B-117</t>
  </si>
  <si>
    <t>B-118</t>
  </si>
  <si>
    <t>B-119</t>
  </si>
  <si>
    <t>B-120</t>
  </si>
  <si>
    <t>B-121</t>
  </si>
  <si>
    <t>B-122</t>
  </si>
  <si>
    <t>B-123</t>
  </si>
  <si>
    <t>B-124</t>
  </si>
  <si>
    <t>B-125</t>
  </si>
  <si>
    <t>B-126</t>
  </si>
  <si>
    <t>B-127</t>
  </si>
  <si>
    <t>B-128</t>
  </si>
  <si>
    <t>B-129</t>
  </si>
  <si>
    <t>B-130</t>
  </si>
  <si>
    <t>B-131</t>
  </si>
  <si>
    <t>B-132</t>
  </si>
  <si>
    <t>B-133</t>
  </si>
  <si>
    <t>B-134</t>
  </si>
  <si>
    <t>B-135</t>
  </si>
  <si>
    <t>B-136</t>
  </si>
  <si>
    <t>B-137</t>
  </si>
  <si>
    <t>B-138</t>
  </si>
  <si>
    <t>B-139</t>
  </si>
  <si>
    <t>B-140</t>
  </si>
  <si>
    <t>B-141</t>
  </si>
  <si>
    <t>B-142</t>
  </si>
  <si>
    <t>B-143</t>
  </si>
  <si>
    <t>B-144</t>
  </si>
  <si>
    <t>B-145</t>
  </si>
  <si>
    <t>B-146</t>
  </si>
  <si>
    <t>B-147</t>
  </si>
  <si>
    <t>B-148</t>
  </si>
  <si>
    <t>B-149</t>
  </si>
  <si>
    <t>B-150</t>
  </si>
  <si>
    <t>B-151</t>
  </si>
  <si>
    <t>B-152</t>
  </si>
  <si>
    <t>B-153</t>
  </si>
  <si>
    <t>B-154</t>
  </si>
  <si>
    <t>B-155</t>
  </si>
  <si>
    <t>B-156</t>
  </si>
  <si>
    <t>B-157</t>
  </si>
  <si>
    <t>B-158</t>
  </si>
  <si>
    <t>B-159</t>
  </si>
  <si>
    <t>B-160</t>
  </si>
  <si>
    <t>B-161</t>
  </si>
  <si>
    <t>B-162</t>
  </si>
  <si>
    <t>B-163</t>
  </si>
  <si>
    <t>B-164</t>
  </si>
  <si>
    <t>B-165</t>
  </si>
  <si>
    <t>B-166</t>
  </si>
  <si>
    <t>B-167</t>
  </si>
  <si>
    <t>B-168</t>
  </si>
  <si>
    <t>B-169</t>
  </si>
  <si>
    <t>B-170</t>
  </si>
  <si>
    <t>B-171</t>
  </si>
  <si>
    <t>B-172</t>
  </si>
  <si>
    <t>B-173</t>
  </si>
  <si>
    <t>B-174</t>
  </si>
  <si>
    <t>B-175</t>
  </si>
  <si>
    <t>B-176</t>
  </si>
  <si>
    <t>B-177</t>
  </si>
  <si>
    <t>B-178</t>
  </si>
  <si>
    <t>B-179</t>
  </si>
  <si>
    <t>B-180</t>
  </si>
  <si>
    <t>B-181</t>
  </si>
  <si>
    <t>B-182</t>
  </si>
  <si>
    <t>B-183</t>
  </si>
  <si>
    <t>B-184</t>
  </si>
  <si>
    <t>B-185</t>
  </si>
  <si>
    <t>B-186</t>
  </si>
  <si>
    <t>B-187</t>
  </si>
  <si>
    <t>B-188</t>
  </si>
  <si>
    <t>B-189</t>
  </si>
  <si>
    <t>B-190</t>
  </si>
  <si>
    <t>B-191</t>
  </si>
  <si>
    <t>B-192</t>
  </si>
  <si>
    <t>B-193</t>
  </si>
  <si>
    <t>B-194</t>
  </si>
  <si>
    <t>B-195</t>
  </si>
  <si>
    <t>B-196</t>
  </si>
  <si>
    <t>B-197</t>
  </si>
  <si>
    <t>B-198</t>
  </si>
  <si>
    <t>B-199</t>
  </si>
  <si>
    <t>B-200</t>
  </si>
  <si>
    <t>B-201</t>
  </si>
  <si>
    <t>B-202</t>
  </si>
  <si>
    <t>B-203</t>
  </si>
  <si>
    <t>B-204</t>
  </si>
  <si>
    <t>B-205</t>
  </si>
  <si>
    <t>B-206</t>
  </si>
  <si>
    <t>B-207</t>
  </si>
  <si>
    <t>B-208</t>
  </si>
  <si>
    <t>B-209</t>
  </si>
  <si>
    <t>B-210</t>
  </si>
  <si>
    <t>B-211</t>
  </si>
  <si>
    <t>B-212</t>
  </si>
  <si>
    <t>B-213</t>
  </si>
  <si>
    <t>B-214</t>
  </si>
  <si>
    <t>B-215</t>
  </si>
  <si>
    <t>B-216</t>
  </si>
  <si>
    <t>B-217</t>
  </si>
  <si>
    <t>B-218</t>
  </si>
  <si>
    <t>B-219</t>
  </si>
  <si>
    <t>B-220</t>
  </si>
  <si>
    <t>B-221</t>
  </si>
  <si>
    <t>B-222</t>
  </si>
  <si>
    <t>B-223</t>
  </si>
  <si>
    <t>B-224</t>
  </si>
  <si>
    <t>B-225</t>
  </si>
  <si>
    <t>B-226</t>
  </si>
  <si>
    <t>B-227</t>
  </si>
  <si>
    <t>B-228</t>
  </si>
  <si>
    <t>B-229</t>
  </si>
  <si>
    <t>B-230</t>
  </si>
  <si>
    <t>B-231</t>
  </si>
  <si>
    <t>B-232</t>
  </si>
  <si>
    <t>B-233</t>
  </si>
  <si>
    <t>B-234</t>
  </si>
  <si>
    <t>B-235</t>
  </si>
  <si>
    <t>B-236</t>
  </si>
  <si>
    <t>B-237</t>
  </si>
  <si>
    <t>B-238</t>
  </si>
  <si>
    <t>B-239</t>
  </si>
  <si>
    <t>B-240</t>
  </si>
  <si>
    <t>B-241</t>
  </si>
  <si>
    <t>B-242</t>
  </si>
  <si>
    <t>B-243</t>
  </si>
  <si>
    <t>B-244</t>
  </si>
  <si>
    <t>B-245</t>
  </si>
  <si>
    <t>B-246</t>
  </si>
  <si>
    <t>B-247</t>
  </si>
  <si>
    <t>B-248</t>
  </si>
  <si>
    <t>B-249</t>
  </si>
  <si>
    <t>B-250</t>
  </si>
  <si>
    <t>B-251</t>
  </si>
  <si>
    <t>B-252</t>
  </si>
  <si>
    <t>B-253</t>
  </si>
  <si>
    <t>B-254</t>
  </si>
  <si>
    <t>B-255</t>
  </si>
  <si>
    <t>B-256</t>
  </si>
  <si>
    <t>B-257</t>
  </si>
  <si>
    <t>B-258</t>
  </si>
  <si>
    <t>B-259</t>
  </si>
  <si>
    <t>B-260</t>
  </si>
  <si>
    <t>B-261</t>
  </si>
  <si>
    <t>B-262</t>
  </si>
  <si>
    <t>B-264</t>
  </si>
  <si>
    <t>B-265</t>
  </si>
  <si>
    <t>B-266</t>
  </si>
  <si>
    <t>B-267</t>
  </si>
  <si>
    <t>charlesite</t>
  </si>
  <si>
    <t>tincalconite</t>
  </si>
  <si>
    <t>Chromo-alumino-povondraite</t>
  </si>
  <si>
    <t>avogadrite</t>
  </si>
  <si>
    <t>bandylite</t>
  </si>
  <si>
    <t>barberiite</t>
  </si>
  <si>
    <t>biringuccite</t>
  </si>
  <si>
    <t>blatterite</t>
  </si>
  <si>
    <t>bobtraillite</t>
  </si>
  <si>
    <t>boracite</t>
  </si>
  <si>
    <t>boralsilite</t>
  </si>
  <si>
    <t>borax</t>
  </si>
  <si>
    <t>borocookeite</t>
  </si>
  <si>
    <t>boromullite</t>
  </si>
  <si>
    <t>brianroulstonite</t>
  </si>
  <si>
    <t>britvinite</t>
  </si>
  <si>
    <t>buryatite</t>
  </si>
  <si>
    <t>byzantievite</t>
  </si>
  <si>
    <t>cahnite</t>
  </si>
  <si>
    <t>calciborite</t>
  </si>
  <si>
    <t>canavesite</t>
  </si>
  <si>
    <t>capranicaite</t>
  </si>
  <si>
    <t>carboborite</t>
  </si>
  <si>
    <t>chelkarite</t>
  </si>
  <si>
    <t>chestermanite</t>
  </si>
  <si>
    <t>clinokurchatovite</t>
  </si>
  <si>
    <t>clinometaborite</t>
  </si>
  <si>
    <t>colemanite</t>
  </si>
  <si>
    <t>congolite</t>
  </si>
  <si>
    <t>danburite</t>
  </si>
  <si>
    <t>darrellhenryite</t>
  </si>
  <si>
    <t>ekaterinite</t>
  </si>
  <si>
    <t>ericaite</t>
  </si>
  <si>
    <t>ezcurrite</t>
  </si>
  <si>
    <t>fabianite</t>
  </si>
  <si>
    <t>fedorovskite</t>
  </si>
  <si>
    <t>ferruccite</t>
  </si>
  <si>
    <t>feruvite</t>
  </si>
  <si>
    <t>fluoborite</t>
  </si>
  <si>
    <t>fluor-buergerite</t>
  </si>
  <si>
    <t>fluor-dravite</t>
  </si>
  <si>
    <t>fluor-elbaite</t>
  </si>
  <si>
    <t>fluor-schorl</t>
  </si>
  <si>
    <t>fluor-tsilaisite</t>
  </si>
  <si>
    <t>fluor-uvite</t>
  </si>
  <si>
    <t>foitite</t>
  </si>
  <si>
    <t>fredrikssonite</t>
  </si>
  <si>
    <t>frolovite</t>
  </si>
  <si>
    <t>garrelsite</t>
  </si>
  <si>
    <t>gaudefroyite</t>
  </si>
  <si>
    <t>ginorite</t>
  </si>
  <si>
    <t>gowerite</t>
  </si>
  <si>
    <t>halurgite</t>
  </si>
  <si>
    <t>hambergite</t>
  </si>
  <si>
    <t>harkerite</t>
  </si>
  <si>
    <t>heidornite</t>
  </si>
  <si>
    <t>henmilite</t>
  </si>
  <si>
    <t>hexahydroborite</t>
  </si>
  <si>
    <t>hilgardite</t>
  </si>
  <si>
    <t>homilite</t>
  </si>
  <si>
    <t>howlite</t>
  </si>
  <si>
    <t>hulsite</t>
  </si>
  <si>
    <t>hungchaoite</t>
  </si>
  <si>
    <t>hyalotekite</t>
  </si>
  <si>
    <t>hydroboracite</t>
  </si>
  <si>
    <t>hydrochlorborite</t>
  </si>
  <si>
    <t>hydroxylborite</t>
  </si>
  <si>
    <t>inderborite</t>
  </si>
  <si>
    <t>inderite</t>
  </si>
  <si>
    <t>inyoite</t>
  </si>
  <si>
    <t>iquiqueite</t>
  </si>
  <si>
    <t>jacquesdietrichite</t>
  </si>
  <si>
    <t>jadarite</t>
  </si>
  <si>
    <t>jarandolite</t>
  </si>
  <si>
    <t>jimboite</t>
  </si>
  <si>
    <t>kalborsite</t>
  </si>
  <si>
    <t>kaliborite</t>
  </si>
  <si>
    <t>kasatkinite</t>
  </si>
  <si>
    <t>kernite</t>
  </si>
  <si>
    <t>kirchhoffite</t>
  </si>
  <si>
    <t>knasibfite</t>
  </si>
  <si>
    <t>korzhinskite</t>
  </si>
  <si>
    <t>kotoite</t>
  </si>
  <si>
    <t>kurchatovite</t>
  </si>
  <si>
    <t>kurgantaite</t>
  </si>
  <si>
    <t>kurnakovite</t>
  </si>
  <si>
    <t>larderellite</t>
  </si>
  <si>
    <t>leucostaurite</t>
  </si>
  <si>
    <t>lisitsynite</t>
  </si>
  <si>
    <t>londonite</t>
  </si>
  <si>
    <t>ludwigite</t>
  </si>
  <si>
    <t>magnesio-foitite</t>
  </si>
  <si>
    <t>magnesiohulsite</t>
  </si>
  <si>
    <t>maleevite</t>
  </si>
  <si>
    <t>malinkoite</t>
  </si>
  <si>
    <t>manandonite</t>
  </si>
  <si>
    <t>martinite</t>
  </si>
  <si>
    <t>mereheadite</t>
  </si>
  <si>
    <t>metaborite</t>
  </si>
  <si>
    <t>meyerhofferite</t>
  </si>
  <si>
    <t>nasinite</t>
  </si>
  <si>
    <t>nifontovite</t>
  </si>
  <si>
    <t>nioboholtite</t>
  </si>
  <si>
    <t>nobleite</t>
  </si>
  <si>
    <t>numanoite</t>
  </si>
  <si>
    <t>okayamalite</t>
  </si>
  <si>
    <t>olshanskyite</t>
  </si>
  <si>
    <t>ominelite</t>
  </si>
  <si>
    <t>orthopinakiolite</t>
  </si>
  <si>
    <t>oxy-chromium-dravite</t>
  </si>
  <si>
    <t>oxy-dravite</t>
  </si>
  <si>
    <t>oxy-schorl</t>
  </si>
  <si>
    <t>oxy-vanadium-dravite</t>
  </si>
  <si>
    <t>parasibirskite</t>
  </si>
  <si>
    <t>pekovite</t>
  </si>
  <si>
    <t>penobsquisite</t>
  </si>
  <si>
    <t>pentahydroborite</t>
  </si>
  <si>
    <t>pinakiolite</t>
  </si>
  <si>
    <t>pinnoite</t>
  </si>
  <si>
    <t>poudretteite</t>
  </si>
  <si>
    <t>preobrazhenskite</t>
  </si>
  <si>
    <t>pringleite</t>
  </si>
  <si>
    <t>probertite</t>
  </si>
  <si>
    <t>pseudosinhalite</t>
  </si>
  <si>
    <t>qilianshanite</t>
  </si>
  <si>
    <t>qingsongite</t>
  </si>
  <si>
    <t>reedmergnerite</t>
  </si>
  <si>
    <t>rhodizite</t>
  </si>
  <si>
    <t>rivadavite</t>
  </si>
  <si>
    <t>rogermitchellite</t>
  </si>
  <si>
    <t>rossmanite</t>
  </si>
  <si>
    <t>roweite</t>
  </si>
  <si>
    <t>ruitenbergite</t>
  </si>
  <si>
    <t>sakhaite</t>
  </si>
  <si>
    <t>santarosaite</t>
  </si>
  <si>
    <t>santite</t>
  </si>
  <si>
    <t>sassolite</t>
  </si>
  <si>
    <t>satimolite</t>
  </si>
  <si>
    <t>sborgite</t>
  </si>
  <si>
    <t>schiavinatoite</t>
  </si>
  <si>
    <t>searlesite</t>
  </si>
  <si>
    <t>shabynite</t>
  </si>
  <si>
    <t>shimazakiite</t>
  </si>
  <si>
    <t>sibirskite</t>
  </si>
  <si>
    <t>sinhalite</t>
  </si>
  <si>
    <t>solongoite</t>
  </si>
  <si>
    <t>steedeite</t>
  </si>
  <si>
    <t>strontioginorite</t>
  </si>
  <si>
    <t>studenitsite</t>
  </si>
  <si>
    <t>sturmanite</t>
  </si>
  <si>
    <t>suanite</t>
  </si>
  <si>
    <t>sulfoborite</t>
  </si>
  <si>
    <t>sussexite</t>
  </si>
  <si>
    <t>szklaryite</t>
  </si>
  <si>
    <t>takedaite</t>
  </si>
  <si>
    <t>taramellite</t>
  </si>
  <si>
    <t>tertschite</t>
  </si>
  <si>
    <t>teruggite</t>
  </si>
  <si>
    <t>tienshanite</t>
  </si>
  <si>
    <t>tinzenite</t>
  </si>
  <si>
    <t>titanoholtite</t>
  </si>
  <si>
    <t>titantaramellite</t>
  </si>
  <si>
    <t>trembathite</t>
  </si>
  <si>
    <t>tsilaisite</t>
  </si>
  <si>
    <t>tunellite</t>
  </si>
  <si>
    <t>tusionite</t>
  </si>
  <si>
    <t>tuzlaite</t>
  </si>
  <si>
    <t>tyretskite</t>
  </si>
  <si>
    <t>ulexite</t>
  </si>
  <si>
    <t>uralborite</t>
  </si>
  <si>
    <t>uvite</t>
  </si>
  <si>
    <t>vanadio-oxy-chromium-dravite</t>
  </si>
  <si>
    <t>vanadio-oxy-dravite</t>
  </si>
  <si>
    <t>vimsite</t>
  </si>
  <si>
    <t>vistepite</t>
  </si>
  <si>
    <t>vitimite</t>
  </si>
  <si>
    <t>vladkrivovichevite</t>
  </si>
  <si>
    <t>volkovskite</t>
  </si>
  <si>
    <t>vonsenite</t>
  </si>
  <si>
    <t>walkerite</t>
  </si>
  <si>
    <t>wardsmithite</t>
  </si>
  <si>
    <t>wawayandaite</t>
  </si>
  <si>
    <t>wightmanite</t>
  </si>
  <si>
    <t>wiserite</t>
  </si>
  <si>
    <t>adachiite</t>
  </si>
  <si>
    <t>admontite</t>
  </si>
  <si>
    <t>alfredstelznerite</t>
  </si>
  <si>
    <t>aluminomagnesiohulsite</t>
  </si>
  <si>
    <t>ameghinite</t>
  </si>
  <si>
    <t>ammonioborite</t>
  </si>
  <si>
    <t>aristarainite</t>
  </si>
  <si>
    <t>Relationship</t>
  </si>
  <si>
    <t>Tourmaline supergroup</t>
  </si>
  <si>
    <t>CaFe2+3 Al6(Si5AlO18)(BO3)3(OH)3(OH)</t>
  </si>
  <si>
    <t>MgB6O10·7H2O</t>
  </si>
  <si>
    <r>
      <t>MgB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</si>
  <si>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t>Ca4B16O16(OH)24·19H2O</t>
  </si>
  <si>
    <t>Blazko et al. (1962)</t>
  </si>
  <si>
    <t>Mg2AlO2(BO3)</t>
  </si>
  <si>
    <t>NaB3O3(OH)4</t>
  </si>
  <si>
    <t>(NH4)3B15O20(OH)8·4H2O</t>
  </si>
  <si>
    <t>Schaller (1933)</t>
  </si>
  <si>
    <t>Na2Mg[B6O8(OH)4]2·4H2O</t>
  </si>
  <si>
    <t>KBF4</t>
  </si>
  <si>
    <t>Ca4Fe2+2Al4[B2Si8O30](OH)2</t>
  </si>
  <si>
    <t>Ca4Mn2+2Al4[B2Si8O30](OH)2</t>
  </si>
  <si>
    <t>Ca4Mg2Al4[B2Si8O30](OH)2</t>
  </si>
  <si>
    <t>Mg2[(Ti,Mg),Fe3+]O2BO3</t>
  </si>
  <si>
    <t>Ludwigite group</t>
  </si>
  <si>
    <t>Pinakiolite group</t>
  </si>
  <si>
    <t>Axinite group</t>
  </si>
  <si>
    <t>Boracite group</t>
  </si>
  <si>
    <t>Danburite group</t>
  </si>
  <si>
    <t>Ca4B5Si3O15(OH)5</t>
  </si>
  <si>
    <t>CuB(OH)4Cl</t>
  </si>
  <si>
    <t>NH4BF4</t>
  </si>
  <si>
    <t>TaBO4</t>
  </si>
  <si>
    <r>
      <t>Be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(BO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)(OH)·H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</si>
  <si>
    <r>
      <t>CsBe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Al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(B</t>
    </r>
    <r>
      <rPr>
        <vertAlign val="subscript"/>
        <sz val="10"/>
        <rFont val="Arial"/>
        <family val="2"/>
      </rPr>
      <t>11</t>
    </r>
    <r>
      <rPr>
        <sz val="10"/>
        <rFont val="Arial"/>
      </rPr>
      <t>Be)O</t>
    </r>
    <r>
      <rPr>
        <vertAlign val="subscript"/>
        <sz val="10"/>
        <rFont val="Arial"/>
        <family val="2"/>
      </rPr>
      <t>28</t>
    </r>
  </si>
  <si>
    <r>
      <t>KBe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Al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(B</t>
    </r>
    <r>
      <rPr>
        <vertAlign val="subscript"/>
        <sz val="10"/>
        <rFont val="Arial"/>
        <family val="2"/>
      </rPr>
      <t>11</t>
    </r>
    <r>
      <rPr>
        <sz val="10"/>
        <rFont val="Arial"/>
      </rPr>
      <t>Be)O</t>
    </r>
    <r>
      <rPr>
        <vertAlign val="subscript"/>
        <sz val="10"/>
        <rFont val="Arial"/>
        <family val="2"/>
      </rPr>
      <t>28</t>
    </r>
  </si>
  <si>
    <r>
      <t>Be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BO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(OH)</t>
    </r>
  </si>
  <si>
    <t>Na2B5O8(OH)·H2O</t>
  </si>
  <si>
    <t>Sb5+3Mn3+9Mn2+35(BO3)16O32</t>
  </si>
  <si>
    <t>Orthopinakiolite group</t>
  </si>
  <si>
    <t>(Na,Ca)13Sr11(Zr,Y,Nb)14Si42B6O132(OH)12·12H2O</t>
  </si>
  <si>
    <t>McDonald and Chao (2005)</t>
  </si>
  <si>
    <t>Ni2Fe3+O2(BO3)</t>
  </si>
  <si>
    <t>Mg3B7O13Cl</t>
  </si>
  <si>
    <t>Al16B6O30(Si2O7)</t>
  </si>
  <si>
    <t>Na2B4O5(OH)4·8H2O</t>
  </si>
  <si>
    <t>Ca4MgB4O6(CO3)2(OH)6</t>
  </si>
  <si>
    <t>Chlorite group</t>
  </si>
  <si>
    <t>LiAl4(Si3B)O10(OH)8</t>
  </si>
  <si>
    <t>Al9BSi2O19</t>
  </si>
  <si>
    <t>Buick et al. (2008)</t>
  </si>
  <si>
    <t>Mica group</t>
  </si>
  <si>
    <t>KAl2(Si3B)O10(OH)2</t>
  </si>
  <si>
    <t>Ca6.15Na0.85Ce2[B6O7(OH)3(O,OH)3]4·H2O</t>
  </si>
  <si>
    <t>Ca3B5O6(OH)7Cl2·8H2O</t>
  </si>
  <si>
    <t>Pb14Mg9Si10O28(BO3)4(CO3)2F2(OH)12</t>
  </si>
  <si>
    <t>Ca3(Si,Fe3+,Al)SO4B(OH)4(OH,O)6·12H2O</t>
  </si>
  <si>
    <t>Ettringite group</t>
  </si>
  <si>
    <t>Malinko et al. (2001)</t>
  </si>
  <si>
    <t>Ba5(Ca,REE,Y)22(Ti,Nb)18(SiO4)4(PO4,SiO4)4(BO3)9O22[(OH),F]43·1.5H2O</t>
  </si>
  <si>
    <t>Ca2B(AsO4)(OH)4</t>
  </si>
  <si>
    <t>CaB2O4</t>
  </si>
  <si>
    <t>(Y,REE,Ca)2(B,Be)2(SiO4)2(OH,O)2</t>
  </si>
  <si>
    <t>Mg2(HBO3)(CO3)·5H2O</t>
  </si>
  <si>
    <t>Ferraris et al. (1978)</t>
  </si>
  <si>
    <t>BaY6B6Si3O24F2</t>
  </si>
  <si>
    <t>Callegari et al. (2011)</t>
  </si>
  <si>
    <t>Ca2Mg[B(OH)4]2(CO3)2·4H2O</t>
  </si>
  <si>
    <t>Mn3B7O13Cl</t>
  </si>
  <si>
    <t>Ca6Al2(SO4)2B(OH)4(OH,O)12·26H2O</t>
  </si>
  <si>
    <t>CaMgB2O4Cl2·7H2O</t>
  </si>
  <si>
    <t>Avrova et al. (1968)</t>
  </si>
  <si>
    <t>Mg2(Fe3+,Mg,Al,Sb5+)O2BO3</t>
  </si>
  <si>
    <t>NaMg3Cr6(Si6O18)(BO3)3(OH)3OH</t>
  </si>
  <si>
    <t>NaCr3(Al4Mg2)(Si6O18)(BO3)3(OH)3O</t>
  </si>
  <si>
    <t>Ca4(Th,REE)2Al(B4Si4O22)(OH)2</t>
  </si>
  <si>
    <t>Hellandite group</t>
  </si>
  <si>
    <r>
      <t>Ca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(CeCa)AlBe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(Si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B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22</t>
    </r>
    <r>
      <rPr>
        <sz val="10"/>
        <rFont val="Arial"/>
      </rPr>
      <t>)O</t>
    </r>
    <r>
      <rPr>
        <vertAlign val="subscript"/>
        <sz val="10"/>
        <rFont val="Arial"/>
        <family val="2"/>
      </rPr>
      <t>2</t>
    </r>
  </si>
  <si>
    <t>Della Ventura et al. (2002)</t>
  </si>
  <si>
    <t>CaMgB2O5</t>
  </si>
  <si>
    <t>HBO2</t>
  </si>
  <si>
    <t>CaB3O4(OH)3·H2O</t>
  </si>
  <si>
    <t>Fe2+3B7O13Cl</t>
  </si>
  <si>
    <t>dimorph of boracite</t>
  </si>
  <si>
    <t>dimorph of kurchatovite</t>
  </si>
  <si>
    <t>dimorph of clinokurchatovite</t>
  </si>
  <si>
    <t>dimorph of clinometaborite</t>
  </si>
  <si>
    <t>CaB2Si2O8</t>
  </si>
  <si>
    <t>NaLiAl2Al6(BO3)3Si6O18(OH)3O</t>
  </si>
  <si>
    <t>CaBSiO4(OH)</t>
  </si>
  <si>
    <t>NaMg3Al6(Si6O18)(BO3)3(OH)3OH</t>
  </si>
  <si>
    <t>AlAl6BSi3O18</t>
  </si>
  <si>
    <t>Dumortierite supergroup</t>
  </si>
  <si>
    <t>MgAl6BSi3O17(OH)</t>
  </si>
  <si>
    <r>
      <t>(Ta0.6</t>
    </r>
    <r>
      <rPr>
        <sz val="10"/>
        <rFont val="Calibri"/>
        <family val="2"/>
      </rPr>
      <t>□</t>
    </r>
    <r>
      <rPr>
        <sz val="10"/>
        <rFont val="Arial"/>
      </rPr>
      <t>0.4)Al6BSi3O18</t>
    </r>
  </si>
  <si>
    <r>
      <t>(Nb0.6</t>
    </r>
    <r>
      <rPr>
        <sz val="10"/>
        <rFont val="Calibri"/>
        <family val="2"/>
      </rPr>
      <t>□</t>
    </r>
    <r>
      <rPr>
        <sz val="10"/>
        <rFont val="Arial"/>
      </rPr>
      <t>0.4)Al6BSi3O18</t>
    </r>
  </si>
  <si>
    <r>
      <t>(Ti0.75</t>
    </r>
    <r>
      <rPr>
        <sz val="10"/>
        <rFont val="Calibri"/>
        <family val="2"/>
      </rPr>
      <t>□</t>
    </r>
    <r>
      <rPr>
        <sz val="10"/>
        <rFont val="Arial"/>
      </rPr>
      <t>0.25)Al6BSi3O18</t>
    </r>
  </si>
  <si>
    <t>□Al6BAs3+3O15</t>
  </si>
  <si>
    <t>Ca2B4O7Cl2·2H2O</t>
  </si>
  <si>
    <t>Na(Al1.5Li1.5)Al6(Si6O18)(BO3)3(OH)3OH</t>
  </si>
  <si>
    <t>Na2B5O7(OH)3·2H2O</t>
  </si>
  <si>
    <t>Muessig and Allen (1957)</t>
  </si>
  <si>
    <t>CaB3O5(OH)</t>
  </si>
  <si>
    <t>Ca2Mg2B4O7(OH)6</t>
  </si>
  <si>
    <t>NaBF4</t>
  </si>
  <si>
    <t>CaFe2+3(Al5Mg)(Si6O18)(BO3)3(OH)3OH</t>
  </si>
  <si>
    <t>Mg3(BO3)F3</t>
  </si>
  <si>
    <t>NaFe3+3Al6(Si6O18)(BO3)3O3F</t>
  </si>
  <si>
    <t>NaMg3Al6(Si6O18)(BO3)3(OH)3F</t>
  </si>
  <si>
    <t>Na(Li1.5Al1.5)Al6(Si6O18)(BO3)3(OH)3F</t>
  </si>
  <si>
    <t>Ca(Li2Al)Al6(Si6O18)(BO3)3(OH)3F</t>
  </si>
  <si>
    <t>NaFe2+3Al6(Si6O18)(BO3)3(OH)3F</t>
  </si>
  <si>
    <t>NaMn2+3Al6(Si6O18)(BO3)3(OH)3F</t>
  </si>
  <si>
    <t>CaMg3(Al5Mg)(Si6O18)(BO3)3(OH)3F</t>
  </si>
  <si>
    <r>
      <rPr>
        <sz val="10"/>
        <rFont val="Calibri"/>
        <family val="2"/>
      </rPr>
      <t>□</t>
    </r>
    <r>
      <rPr>
        <sz val="10"/>
        <rFont val="Arial"/>
      </rPr>
      <t> (Fe2+2Al)Al6(Si6O18)(BO3)3(OH)3OH</t>
    </r>
  </si>
  <si>
    <t>itsiite</t>
  </si>
  <si>
    <t>Ba2Ca(BSi2O7)2</t>
  </si>
  <si>
    <t>Imayoshiite</t>
  </si>
  <si>
    <t>NaMn2[Si3BO9](OH)2</t>
  </si>
  <si>
    <t>(Na,K)2(Sr,Ca)SO4[B4O6(OH)2]·3H2O.</t>
  </si>
  <si>
    <t>B-263</t>
  </si>
  <si>
    <t>Ca3Al(CO3)[B(OH)4](OH)6·12H2O</t>
  </si>
  <si>
    <t>Mg2Mn3+O2(BO3)</t>
  </si>
  <si>
    <t>Ca[(B(OH)4]2</t>
  </si>
  <si>
    <t>NaBa3B7Si2O16(OH)4</t>
  </si>
  <si>
    <t>Ca4Mn3+3(BO3)3(CO3)(O,OH)3</t>
  </si>
  <si>
    <t>Ca2B14O20(OH)6·5H2O</t>
  </si>
  <si>
    <t>Ca[B5O8(OH)][B(OH)3]·3H2O</t>
  </si>
  <si>
    <t>MgAl3O2(BO3)SiO4</t>
  </si>
  <si>
    <t>Fe2+Al3O2(BO3)SiO4</t>
  </si>
  <si>
    <t>Mg2[B4O5(OH)4]2·H2O</t>
  </si>
  <si>
    <t>Ca12Mg4Al(SiO4)4(BO3)3(CO3)5·H2O</t>
  </si>
  <si>
    <t>Na2Ca3B5O8(SO4)2(OH)2Cl</t>
  </si>
  <si>
    <t>(Ca3Ce)Ce2Al(B4Si4O22)(OH)2</t>
  </si>
  <si>
    <t>(Ca3Y)Y2Al(B4Si4O22)(OH)2</t>
  </si>
  <si>
    <t>Ca2Cu[B(OH)4]2(OH)4</t>
  </si>
  <si>
    <t>Nakai et al. (1986)</t>
  </si>
  <si>
    <t>Ca[B(OH)4]2·2H2O</t>
  </si>
  <si>
    <t>Ca2B5O9Cl·H2O</t>
  </si>
  <si>
    <t>Ca2Fe2+B2Si2O10</t>
  </si>
  <si>
    <t>Ca2B5SiO9(OH)5</t>
  </si>
  <si>
    <t>Fe2+2Fe3+O2(BO3)</t>
  </si>
  <si>
    <t>(Y,REE,Ca,Na)15(Al,Fe3+)Cax(As3+)1-x(Si,As5+)Si6B3(O,F)48</t>
  </si>
  <si>
    <t>Raade et al. (2007)</t>
  </si>
  <si>
    <t>MgB4O5(OH)4·7H2O</t>
  </si>
  <si>
    <t>Vicanite group</t>
  </si>
  <si>
    <t>CaMg[B3O4(OH)3]2·3H2O</t>
  </si>
  <si>
    <t>Ca2B3O3(OH)4·BO(OH)3Cl·7H2O</t>
  </si>
  <si>
    <t>Mg3(BO3)(OH)3</t>
  </si>
  <si>
    <t>CaMg[B3O3(OH)5]2·6H2O</t>
  </si>
  <si>
    <t>MgB3O3(OH)5·5H2O</t>
  </si>
  <si>
    <t>CaB3O3(OH)5·4H2O</t>
  </si>
  <si>
    <t>K3Na4Mg(CrO4)B24O39(OH)·12H2O</t>
  </si>
  <si>
    <t>Cu2BO(OH)5</t>
  </si>
  <si>
    <t>LiNaB3SiO7(OH)</t>
  </si>
  <si>
    <t>Stanley et al. (2007)</t>
  </si>
  <si>
    <t>CaB3O4(OH)3</t>
  </si>
  <si>
    <t>Al6(BO3)5F3</t>
  </si>
  <si>
    <t>Mn2+3(BO3)2</t>
  </si>
  <si>
    <t>CaAlB3O7</t>
  </si>
  <si>
    <t>K6Al4BSi6O20(OH)4Cl</t>
  </si>
  <si>
    <t>Khomyakov et al. (1980)</t>
  </si>
  <si>
    <t>HKMg2B12O16(OH)10·4H2O</t>
  </si>
  <si>
    <t>Ba4Y2Si8B4O28F</t>
  </si>
  <si>
    <t>Pautov et al. (2000)</t>
  </si>
  <si>
    <t>(Mg,Alx)7(BO3)3(OH)4Cl1-x</t>
  </si>
  <si>
    <t>Ba2Ca8B5Si8O32(OH)3·6H2O</t>
  </si>
  <si>
    <t>Na2B4O6(OH)2·3H2O</t>
  </si>
  <si>
    <t>CsBSi2O6</t>
  </si>
  <si>
    <t>K3Na4[SiF6]3[BF4]</t>
  </si>
  <si>
    <t>Demartin et al. (2008)</t>
  </si>
  <si>
    <t>(□,Mg,Fe) (Al,Mg,Fe)9 (Si,Al)4(B,Si,Al) O21 (OH,F)</t>
  </si>
  <si>
    <t>(□,Mg,Fe) (Al,Mg,Fe)9 (Si,Al)4(Si,B,Al) O21 (OH,F)</t>
  </si>
  <si>
    <t>CaB2O4·0.5H2O</t>
  </si>
  <si>
    <t>Mg3(BO3)2</t>
  </si>
  <si>
    <t>CaSrB5O9Cl·H2O</t>
  </si>
  <si>
    <t>Hilgardite group</t>
  </si>
  <si>
    <t>dimorph with kurnakovite</t>
  </si>
  <si>
    <t>dimorph with inderite</t>
  </si>
  <si>
    <t>Ca6(Fe2+,Mn2+)Y3REE7(SiO4)3(PO4)(B3Si3O18)(BO3)F11</t>
  </si>
  <si>
    <t>NH4B5O7(OH)2·H2O</t>
  </si>
  <si>
    <t>Na4BaTi2B2Si10O30</t>
  </si>
  <si>
    <t>Pb2B5O9Cl·0.5H2O</t>
  </si>
  <si>
    <t>KBSi2O6</t>
  </si>
  <si>
    <t>Khomyakov et al. (2000)</t>
  </si>
  <si>
    <t>NaBSiO4</t>
  </si>
  <si>
    <t>Mg2Fe3+O2(BO3)</t>
  </si>
  <si>
    <r>
      <t>(Na,</t>
    </r>
    <r>
      <rPr>
        <sz val="10"/>
        <rFont val="Calibri"/>
        <family val="2"/>
      </rPr>
      <t>□</t>
    </r>
    <r>
      <rPr>
        <sz val="10"/>
        <rFont val="Arial"/>
      </rPr>
      <t>)(Fe2+,Mg)3Al6(Si6O18)(BO3)3(OH)3OH</t>
    </r>
  </si>
  <si>
    <r>
      <t>(Na,</t>
    </r>
    <r>
      <rPr>
        <sz val="10"/>
        <rFont val="Calibri"/>
        <family val="2"/>
      </rPr>
      <t>□</t>
    </r>
    <r>
      <rPr>
        <sz val="10"/>
        <rFont val="Arial"/>
      </rPr>
      <t>)(Fe2+,Mg)3Al6(Si6O18)(BO3)3(OH)3F</t>
    </r>
  </si>
  <si>
    <t>"luinaite-(F)"</t>
  </si>
  <si>
    <t>Mg3[B2(OH)6(PO4)2]·6H2O</t>
  </si>
  <si>
    <r>
      <t>l</t>
    </r>
    <r>
      <rPr>
        <b/>
        <sz val="10"/>
        <color rgb="FF333333"/>
        <rFont val="Calibri"/>
        <family val="2"/>
      </rPr>
      <t>ü</t>
    </r>
    <r>
      <rPr>
        <b/>
        <sz val="10"/>
        <color rgb="FF333333"/>
        <rFont val="Arial"/>
        <family val="2"/>
      </rPr>
      <t>neburgite</t>
    </r>
  </si>
  <si>
    <r>
      <t> </t>
    </r>
    <r>
      <rPr>
        <sz val="10"/>
        <rFont val="Calibri"/>
        <family val="2"/>
      </rPr>
      <t>□</t>
    </r>
    <r>
      <rPr>
        <sz val="10"/>
        <rFont val="Arial"/>
      </rPr>
      <t> (Mg2Al)Al6(Si6O18)(BO3)3(OH)3OH</t>
    </r>
  </si>
  <si>
    <t>BaB2Si2O8</t>
  </si>
  <si>
    <t>SrB2Si2O8</t>
  </si>
  <si>
    <t>Pautov et al. (2004)</t>
  </si>
  <si>
    <t>Li2Al4(Si2AlB)O10(OH)8</t>
  </si>
  <si>
    <t>Kaolinite-serpentine group</t>
  </si>
  <si>
    <r>
      <t>(Na,</t>
    </r>
    <r>
      <rPr>
        <sz val="10"/>
        <rFont val="Calibri"/>
        <family val="2"/>
      </rPr>
      <t>□</t>
    </r>
    <r>
      <rPr>
        <sz val="10"/>
        <rFont val="Arial"/>
      </rPr>
      <t>,Ca)12Ca4(Si,S,B)14B2O38(OH,Cl)2F2·4H2O</t>
    </r>
  </si>
  <si>
    <t>Mg2[B6O7(OH)6]2·9H2O</t>
  </si>
  <si>
    <t>Ce5(SiO4,BO4)3(OH,O)</t>
  </si>
  <si>
    <t>Apatite supergroup</t>
  </si>
  <si>
    <t>is  tritomite-(Ce): should be discredited</t>
  </si>
  <si>
    <t>Y5(SiO4,BO4)3(OH,O,F)</t>
  </si>
  <si>
    <r>
      <t>Pb</t>
    </r>
    <r>
      <rPr>
        <vertAlign val="subscript"/>
        <sz val="10"/>
        <rFont val="Arial"/>
        <family val="2"/>
      </rPr>
      <t>47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24</t>
    </r>
    <r>
      <rPr>
        <sz val="10"/>
        <rFont val="Arial"/>
      </rPr>
      <t>(OH)</t>
    </r>
    <r>
      <rPr>
        <vertAlign val="subscript"/>
        <sz val="10"/>
        <rFont val="Arial"/>
        <family val="2"/>
      </rPr>
      <t>13</t>
    </r>
    <r>
      <rPr>
        <sz val="10"/>
        <rFont val="Arial"/>
      </rPr>
      <t>Cl</t>
    </r>
    <r>
      <rPr>
        <vertAlign val="subscript"/>
        <sz val="10"/>
        <rFont val="Arial"/>
        <family val="2"/>
      </rPr>
      <t>25</t>
    </r>
    <r>
      <rPr>
        <sz val="10"/>
        <rFont val="Arial"/>
      </rPr>
      <t>(BO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)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(CO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)</t>
    </r>
  </si>
  <si>
    <r>
      <t>CaB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(OH)</t>
    </r>
    <r>
      <rPr>
        <vertAlign val="subscript"/>
        <sz val="10"/>
        <rFont val="Arial"/>
        <family val="2"/>
      </rPr>
      <t>5</t>
    </r>
    <r>
      <rPr>
        <sz val="10"/>
        <rFont val="Arial"/>
      </rPr>
      <t>·H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</si>
  <si>
    <r>
      <t>YB(OH)</t>
    </r>
    <r>
      <rPr>
        <sz val="8"/>
        <rFont val="Verdana"/>
        <family val="2"/>
      </rPr>
      <t>4</t>
    </r>
    <r>
      <rPr>
        <sz val="10"/>
        <rFont val="Arial"/>
      </rPr>
      <t>CO</t>
    </r>
    <r>
      <rPr>
        <sz val="8"/>
        <rFont val="Verdana"/>
        <family val="2"/>
      </rPr>
      <t>3</t>
    </r>
  </si>
  <si>
    <t>Grice et al. (1986)</t>
  </si>
  <si>
    <r>
      <t>Ba</t>
    </r>
    <r>
      <rPr>
        <sz val="8"/>
        <rFont val="Verdana"/>
        <family val="2"/>
      </rPr>
      <t>4</t>
    </r>
    <r>
      <rPr>
        <sz val="10"/>
        <rFont val="Arial"/>
      </rPr>
      <t>(V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,Ti)</t>
    </r>
    <r>
      <rPr>
        <sz val="8"/>
        <rFont val="Verdana"/>
        <family val="2"/>
      </rPr>
      <t>4</t>
    </r>
    <r>
      <rPr>
        <sz val="10"/>
        <rFont val="Arial"/>
      </rPr>
      <t>(O,OH)</t>
    </r>
    <r>
      <rPr>
        <sz val="8"/>
        <rFont val="Verdana"/>
        <family val="2"/>
      </rPr>
      <t>2</t>
    </r>
    <r>
      <rPr>
        <sz val="10"/>
        <rFont val="Arial"/>
      </rPr>
      <t>[B</t>
    </r>
    <r>
      <rPr>
        <sz val="8"/>
        <rFont val="Verdana"/>
        <family val="2"/>
      </rPr>
      <t>2</t>
    </r>
    <r>
      <rPr>
        <sz val="10"/>
        <rFont val="Arial"/>
      </rPr>
      <t>Si</t>
    </r>
    <r>
      <rPr>
        <sz val="8"/>
        <rFont val="Verdana"/>
        <family val="2"/>
      </rPr>
      <t>8</t>
    </r>
    <r>
      <rPr>
        <sz val="10"/>
        <rFont val="Arial"/>
      </rPr>
      <t>O</t>
    </r>
    <r>
      <rPr>
        <sz val="8"/>
        <rFont val="Verdana"/>
        <family val="2"/>
      </rPr>
      <t>27</t>
    </r>
    <r>
      <rPr>
        <sz val="10"/>
        <rFont val="Arial"/>
      </rPr>
      <t>]Cl</t>
    </r>
  </si>
  <si>
    <r>
      <t>Na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8</t>
    </r>
    <r>
      <rPr>
        <sz val="10"/>
        <rFont val="Arial"/>
      </rPr>
      <t>(OH)·2H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</si>
  <si>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3</t>
    </r>
    <r>
      <rPr>
        <sz val="10"/>
        <rFont val="Arial"/>
      </rPr>
      <t>[BO(OH)</t>
    </r>
    <r>
      <rPr>
        <sz val="8"/>
        <rFont val="Verdana"/>
        <family val="2"/>
      </rPr>
      <t>2</t>
    </r>
    <r>
      <rPr>
        <sz val="10"/>
        <rFont val="Arial"/>
      </rPr>
      <t>]</t>
    </r>
    <r>
      <rPr>
        <sz val="8"/>
        <rFont val="Verdana"/>
        <family val="2"/>
      </rPr>
      <t>6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</si>
  <si>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CaB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9</t>
    </r>
    <r>
      <rPr>
        <sz val="10"/>
        <rFont val="Arial"/>
      </rPr>
      <t>(OH)</t>
    </r>
    <r>
      <rPr>
        <sz val="8"/>
        <rFont val="Verdana"/>
        <family val="2"/>
      </rPr>
      <t>2</t>
    </r>
    <r>
      <rPr>
        <sz val="10"/>
        <rFont val="Arial"/>
      </rPr>
      <t>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</si>
  <si>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CaSn</t>
    </r>
    <r>
      <rPr>
        <vertAlign val="superscript"/>
        <sz val="8"/>
        <rFont val="Verdana"/>
        <family val="2"/>
      </rPr>
      <t>4+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2</t>
    </r>
  </si>
  <si>
    <r>
      <t>Ca</t>
    </r>
    <r>
      <rPr>
        <sz val="8"/>
        <rFont val="Verdana"/>
        <family val="2"/>
      </rPr>
      <t>4</t>
    </r>
    <r>
      <rPr>
        <sz val="10"/>
        <rFont val="Arial"/>
      </rPr>
      <t>CuB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6</t>
    </r>
    <r>
      <rPr>
        <sz val="10"/>
        <rFont val="Arial"/>
      </rPr>
      <t>(CO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2</t>
    </r>
    <r>
      <rPr>
        <sz val="10"/>
        <rFont val="Arial"/>
      </rPr>
      <t>(OH)</t>
    </r>
    <r>
      <rPr>
        <sz val="8"/>
        <rFont val="Verdana"/>
        <family val="2"/>
      </rPr>
      <t>6</t>
    </r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</si>
  <si>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2</t>
    </r>
    <r>
      <rPr>
        <sz val="10"/>
        <rFont val="Arial"/>
      </rPr>
      <t>SiO</t>
    </r>
    <r>
      <rPr>
        <sz val="8"/>
        <rFont val="Verdana"/>
        <family val="2"/>
      </rPr>
      <t>7</t>
    </r>
  </si>
  <si>
    <r>
      <t>(Y,REE,Ca,Na,Th)</t>
    </r>
    <r>
      <rPr>
        <sz val="8"/>
        <rFont val="Verdana"/>
        <family val="2"/>
      </rPr>
      <t>16</t>
    </r>
    <r>
      <rPr>
        <sz val="10"/>
        <rFont val="Arial"/>
      </rPr>
      <t>(Fe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,Ti)(Si,B,P)</t>
    </r>
    <r>
      <rPr>
        <sz val="8"/>
        <rFont val="Verdana"/>
        <family val="2"/>
      </rPr>
      <t>10</t>
    </r>
    <r>
      <rPr>
        <sz val="10"/>
        <rFont val="Arial"/>
      </rPr>
      <t>(O,OH)</t>
    </r>
    <r>
      <rPr>
        <sz val="8"/>
        <rFont val="Verdana"/>
        <family val="2"/>
      </rPr>
      <t>38</t>
    </r>
    <r>
      <rPr>
        <sz val="10"/>
        <rFont val="Arial"/>
      </rPr>
      <t>F</t>
    </r>
    <r>
      <rPr>
        <sz val="8"/>
        <rFont val="Verdana"/>
        <family val="2"/>
      </rPr>
      <t>10</t>
    </r>
  </si>
  <si>
    <r>
      <t>NaAl</t>
    </r>
    <r>
      <rPr>
        <sz val="8"/>
        <rFont val="Verdana"/>
        <family val="2"/>
      </rPr>
      <t>3</t>
    </r>
    <r>
      <rPr>
        <sz val="10"/>
        <rFont val="Arial"/>
      </rPr>
      <t>Al</t>
    </r>
    <r>
      <rPr>
        <sz val="8"/>
        <rFont val="Verdana"/>
        <family val="2"/>
      </rPr>
      <t>6</t>
    </r>
    <r>
      <rPr>
        <sz val="10"/>
        <rFont val="Arial"/>
      </rPr>
      <t>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</t>
    </r>
    <r>
      <rPr>
        <sz val="8"/>
        <rFont val="Verdana"/>
        <family val="2"/>
      </rPr>
      <t>3</t>
    </r>
    <r>
      <rPr>
        <sz val="10"/>
        <rFont val="Arial"/>
      </rPr>
      <t>)OH</t>
    </r>
  </si>
  <si>
    <r>
      <t>Ca</t>
    </r>
    <r>
      <rPr>
        <sz val="8"/>
        <rFont val="Verdana"/>
        <family val="2"/>
      </rPr>
      <t>3</t>
    </r>
    <r>
      <rPr>
        <sz val="10"/>
        <rFont val="Arial"/>
      </rPr>
      <t>[B</t>
    </r>
    <r>
      <rPr>
        <sz val="8"/>
        <rFont val="Verdana"/>
        <family val="2"/>
      </rPr>
      <t>3</t>
    </r>
    <r>
      <rPr>
        <sz val="10"/>
        <rFont val="Arial"/>
      </rPr>
      <t>O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]OH·3H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</si>
  <si>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Mn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O</t>
    </r>
    <r>
      <rPr>
        <sz val="8"/>
        <rFont val="Verdana"/>
        <family val="2"/>
      </rPr>
      <t>2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</si>
  <si>
    <t>Melilite group</t>
  </si>
  <si>
    <r>
      <t>NaCr</t>
    </r>
    <r>
      <rPr>
        <sz val="8"/>
        <rFont val="Verdana"/>
        <family val="2"/>
      </rPr>
      <t>3</t>
    </r>
    <r>
      <rPr>
        <sz val="10"/>
        <rFont val="Arial"/>
      </rPr>
      <t>(Cr</t>
    </r>
    <r>
      <rPr>
        <sz val="8"/>
        <rFont val="Verdana"/>
        <family val="2"/>
      </rPr>
      <t>4</t>
    </r>
    <r>
      <rPr>
        <sz val="10"/>
        <rFont val="Arial"/>
      </rPr>
      <t>Mg</t>
    </r>
    <r>
      <rPr>
        <sz val="8"/>
        <rFont val="Verdana"/>
        <family val="2"/>
      </rPr>
      <t>2</t>
    </r>
    <r>
      <rPr>
        <sz val="10"/>
        <rFont val="Arial"/>
      </rPr>
      <t>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</si>
  <si>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Na(Al</t>
    </r>
    <r>
      <rPr>
        <sz val="8"/>
        <rFont val="Verdana"/>
        <family val="2"/>
      </rPr>
      <t>2</t>
    </r>
    <r>
      <rPr>
        <sz val="10"/>
        <rFont val="Arial"/>
      </rPr>
      <t>Mg)(Al</t>
    </r>
    <r>
      <rPr>
        <sz val="8"/>
        <rFont val="Verdana"/>
        <family val="2"/>
      </rPr>
      <t>5</t>
    </r>
    <r>
      <rPr>
        <sz val="10"/>
        <rFont val="Arial"/>
      </rPr>
      <t>Mg)(Si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</si>
  <si>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Na(Fe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2</t>
    </r>
    <r>
      <rPr>
        <sz val="10"/>
        <rFont val="Arial"/>
      </rPr>
      <t>Al)Al</t>
    </r>
    <r>
      <rPr>
        <sz val="8"/>
        <rFont val="Verdana"/>
        <family val="2"/>
      </rPr>
      <t>6</t>
    </r>
    <r>
      <rPr>
        <sz val="10"/>
        <rFont val="Arial"/>
      </rPr>
      <t>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</si>
  <si>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NaV</t>
    </r>
    <r>
      <rPr>
        <sz val="8"/>
        <rFont val="Verdana"/>
        <family val="2"/>
      </rPr>
      <t>3</t>
    </r>
    <r>
      <rPr>
        <sz val="10"/>
        <rFont val="Arial"/>
      </rPr>
      <t>(V</t>
    </r>
    <r>
      <rPr>
        <sz val="8"/>
        <rFont val="Verdana"/>
        <family val="2"/>
      </rPr>
      <t>4</t>
    </r>
    <r>
      <rPr>
        <sz val="10"/>
        <rFont val="Arial"/>
      </rPr>
      <t>Mg</t>
    </r>
    <r>
      <rPr>
        <sz val="8"/>
        <rFont val="Verdana"/>
        <family val="2"/>
      </rPr>
      <t>2</t>
    </r>
    <r>
      <rPr>
        <sz val="10"/>
        <rFont val="Arial"/>
      </rPr>
      <t>)Si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</si>
  <si>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10</t>
    </r>
    <r>
      <rPr>
        <sz val="10"/>
        <rFont val="Arial"/>
      </rPr>
      <t>B</t>
    </r>
    <r>
      <rPr>
        <sz val="8"/>
        <rFont val="Verdana"/>
        <family val="2"/>
      </rPr>
      <t>2</t>
    </r>
    <r>
      <rPr>
        <sz val="10"/>
        <rFont val="Arial"/>
      </rPr>
      <t>Si</t>
    </r>
    <r>
      <rPr>
        <sz val="8"/>
        <rFont val="Verdana"/>
        <family val="2"/>
      </rPr>
      <t>8</t>
    </r>
    <r>
      <rPr>
        <sz val="10"/>
        <rFont val="Arial"/>
      </rPr>
      <t>O</t>
    </r>
    <r>
      <rPr>
        <sz val="8"/>
        <rFont val="Verdana"/>
        <family val="2"/>
      </rPr>
      <t>29</t>
    </r>
    <r>
      <rPr>
        <sz val="10"/>
        <rFont val="Arial"/>
      </rPr>
      <t>·12H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</si>
  <si>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CaZrAl</t>
    </r>
    <r>
      <rPr>
        <sz val="8"/>
        <rFont val="Verdana"/>
        <family val="2"/>
      </rPr>
      <t>9</t>
    </r>
    <r>
      <rPr>
        <sz val="10"/>
        <rFont val="Arial"/>
      </rPr>
      <t>O</t>
    </r>
    <r>
      <rPr>
        <sz val="8"/>
        <rFont val="Verdana"/>
        <family val="2"/>
      </rPr>
      <t>15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</si>
  <si>
    <r>
      <t>CaHBO</t>
    </r>
    <r>
      <rPr>
        <sz val="8"/>
        <rFont val="Verdana"/>
        <family val="2"/>
      </rPr>
      <t>3</t>
    </r>
  </si>
  <si>
    <t>dimorph with sibirskite</t>
  </si>
  <si>
    <t>dimorph with parasibirskite</t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</si>
  <si>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Fe</t>
    </r>
    <r>
      <rPr>
        <vertAlign val="superscript"/>
        <sz val="8"/>
        <rFont val="Verdana"/>
        <family val="2"/>
      </rPr>
      <t>2+</t>
    </r>
    <r>
      <rPr>
        <sz val="10"/>
        <rFont val="Arial"/>
      </rPr>
      <t>[B</t>
    </r>
    <r>
      <rPr>
        <sz val="8"/>
        <rFont val="Verdana"/>
        <family val="2"/>
      </rPr>
      <t>9</t>
    </r>
    <r>
      <rPr>
        <sz val="10"/>
        <rFont val="Arial"/>
      </rPr>
      <t>O</t>
    </r>
    <r>
      <rPr>
        <sz val="8"/>
        <rFont val="Verdana"/>
        <family val="2"/>
      </rPr>
      <t>13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]Cl·4H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</si>
  <si>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CeAl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10</t>
    </r>
  </si>
  <si>
    <t>Boggs (1980)</t>
  </si>
  <si>
    <t>Kusachi et al. (1998)</t>
  </si>
  <si>
    <r>
      <t>CaB</t>
    </r>
    <r>
      <rPr>
        <sz val="8"/>
        <rFont val="Verdana"/>
        <family val="2"/>
      </rPr>
      <t>2</t>
    </r>
    <r>
      <rPr>
        <sz val="10"/>
        <rFont val="Arial"/>
      </rPr>
      <t>O(OH)</t>
    </r>
    <r>
      <rPr>
        <sz val="8"/>
        <rFont val="Verdana"/>
        <family val="2"/>
      </rPr>
      <t>6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</si>
  <si>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BO</t>
    </r>
    <r>
      <rPr>
        <sz val="8"/>
        <rFont val="Verdana"/>
        <family val="2"/>
      </rPr>
      <t>3</t>
    </r>
    <r>
      <rPr>
        <sz val="10"/>
        <rFont val="Arial"/>
      </rPr>
      <t>F</t>
    </r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</si>
  <si>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BO</t>
    </r>
    <r>
      <rPr>
        <sz val="8"/>
        <rFont val="Verdana"/>
        <family val="2"/>
      </rPr>
      <t>3(</t>
    </r>
    <r>
      <rPr>
        <sz val="10"/>
        <rFont val="Arial"/>
      </rPr>
      <t>OH)</t>
    </r>
  </si>
  <si>
    <r>
      <t>Ca</t>
    </r>
    <r>
      <rPr>
        <sz val="8"/>
        <rFont val="Verdana"/>
        <family val="2"/>
      </rPr>
      <t>8</t>
    </r>
    <r>
      <rPr>
        <sz val="10"/>
        <rFont val="Arial"/>
      </rPr>
      <t>Ce</t>
    </r>
    <r>
      <rPr>
        <sz val="8"/>
        <rFont val="Verdana"/>
        <family val="2"/>
      </rPr>
      <t>2</t>
    </r>
    <r>
      <rPr>
        <sz val="10"/>
        <rFont val="Arial"/>
      </rPr>
      <t>AlLiSi</t>
    </r>
    <r>
      <rPr>
        <sz val="8"/>
        <rFont val="Verdana"/>
        <family val="2"/>
      </rPr>
      <t>6</t>
    </r>
    <r>
      <rPr>
        <sz val="10"/>
        <rFont val="Arial"/>
      </rPr>
      <t>B</t>
    </r>
    <r>
      <rPr>
        <sz val="8"/>
        <rFont val="Verdana"/>
        <family val="2"/>
      </rPr>
      <t>8</t>
    </r>
    <r>
      <rPr>
        <sz val="10"/>
        <rFont val="Arial"/>
      </rPr>
      <t>O</t>
    </r>
    <r>
      <rPr>
        <sz val="8"/>
        <rFont val="Verdana"/>
        <family val="2"/>
      </rPr>
      <t>36</t>
    </r>
    <r>
      <rPr>
        <sz val="10"/>
        <rFont val="Arial"/>
      </rPr>
      <t>(OH)</t>
    </r>
    <r>
      <rPr>
        <sz val="8"/>
        <rFont val="Verdana"/>
        <family val="2"/>
      </rPr>
      <t>2</t>
    </r>
  </si>
  <si>
    <r>
      <t>(Mg,Mn</t>
    </r>
    <r>
      <rPr>
        <vertAlign val="superscript"/>
        <sz val="8"/>
        <rFont val="Verdana"/>
        <family val="2"/>
      </rPr>
      <t>2+</t>
    </r>
    <r>
      <rPr>
        <sz val="10"/>
        <rFont val="Arial"/>
      </rPr>
      <t>)</t>
    </r>
    <r>
      <rPr>
        <sz val="8"/>
        <rFont val="Verdana"/>
        <family val="2"/>
      </rPr>
      <t>2</t>
    </r>
    <r>
      <rPr>
        <sz val="10"/>
        <rFont val="Arial"/>
      </rPr>
      <t>(Mn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,Sb</t>
    </r>
    <r>
      <rPr>
        <vertAlign val="superscript"/>
        <sz val="8"/>
        <rFont val="Verdana"/>
        <family val="2"/>
      </rPr>
      <t>5+</t>
    </r>
    <r>
      <rPr>
        <sz val="10"/>
        <rFont val="Arial"/>
      </rPr>
      <t>)O</t>
    </r>
    <r>
      <rPr>
        <sz val="8"/>
        <rFont val="Verdana"/>
        <family val="2"/>
      </rPr>
      <t>2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</si>
  <si>
    <r>
      <t>MgB</t>
    </r>
    <r>
      <rPr>
        <sz val="8"/>
        <rFont val="Verdana"/>
        <family val="2"/>
      </rPr>
      <t>2</t>
    </r>
    <r>
      <rPr>
        <sz val="10"/>
        <rFont val="Arial"/>
      </rPr>
      <t>O(OH)</t>
    </r>
    <r>
      <rPr>
        <sz val="8"/>
        <rFont val="Verdana"/>
        <family val="2"/>
      </rPr>
      <t>6</t>
    </r>
  </si>
  <si>
    <r>
      <t>KNa</t>
    </r>
    <r>
      <rPr>
        <sz val="8"/>
        <rFont val="Verdana"/>
        <family val="2"/>
      </rPr>
      <t>2</t>
    </r>
    <r>
      <rPr>
        <sz val="10"/>
        <rFont val="Arial"/>
      </rPr>
      <t>(B</t>
    </r>
    <r>
      <rPr>
        <sz val="8"/>
        <rFont val="Verdana"/>
        <family val="2"/>
      </rPr>
      <t>3</t>
    </r>
    <r>
      <rPr>
        <sz val="10"/>
        <rFont val="Arial"/>
      </rPr>
      <t>Si</t>
    </r>
    <r>
      <rPr>
        <sz val="8"/>
        <rFont val="Verdana"/>
        <family val="2"/>
      </rPr>
      <t>12</t>
    </r>
    <r>
      <rPr>
        <sz val="10"/>
        <rFont val="Arial"/>
      </rPr>
      <t>)O</t>
    </r>
    <r>
      <rPr>
        <sz val="8"/>
        <rFont val="Verdana"/>
        <family val="2"/>
      </rPr>
      <t>30</t>
    </r>
  </si>
  <si>
    <t>Milarite group</t>
  </si>
  <si>
    <t>Grice et al. (1987)</t>
  </si>
  <si>
    <r>
      <t>NaFe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3</t>
    </r>
    <r>
      <rPr>
        <sz val="10"/>
        <rFont val="Arial"/>
      </rPr>
      <t>(Fe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4</t>
    </r>
    <r>
      <rPr>
        <sz val="10"/>
        <rFont val="Arial"/>
      </rPr>
      <t>Mg</t>
    </r>
    <r>
      <rPr>
        <sz val="8"/>
        <rFont val="Verdana"/>
        <family val="2"/>
      </rPr>
      <t>2</t>
    </r>
    <r>
      <rPr>
        <sz val="10"/>
        <rFont val="Arial"/>
      </rPr>
      <t>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</si>
  <si>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Mg</t>
    </r>
    <r>
      <rPr>
        <sz val="8"/>
        <rFont val="Verdana"/>
        <family val="2"/>
      </rPr>
      <t>3</t>
    </r>
    <r>
      <rPr>
        <sz val="10"/>
        <rFont val="Arial"/>
      </rPr>
      <t>B</t>
    </r>
    <r>
      <rPr>
        <sz val="8"/>
        <rFont val="Verdana"/>
        <family val="2"/>
      </rPr>
      <t>11</t>
    </r>
    <r>
      <rPr>
        <sz val="10"/>
        <rFont val="Arial"/>
      </rPr>
      <t>O</t>
    </r>
    <r>
      <rPr>
        <sz val="8"/>
        <rFont val="Verdana"/>
        <family val="2"/>
      </rPr>
      <t>15</t>
    </r>
    <r>
      <rPr>
        <sz val="10"/>
        <rFont val="Arial"/>
      </rPr>
      <t>(OH)</t>
    </r>
    <r>
      <rPr>
        <sz val="8"/>
        <rFont val="Verdana"/>
        <family val="2"/>
      </rPr>
      <t>9</t>
    </r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</si>
  <si>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(OH)</t>
    </r>
    <r>
      <rPr>
        <sz val="8"/>
        <rFont val="Verdana"/>
        <family val="2"/>
      </rPr>
      <t>5</t>
    </r>
    <r>
      <rPr>
        <sz val="10"/>
        <rFont val="Arial"/>
      </rPr>
      <t>·H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</si>
  <si>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9</t>
    </r>
    <r>
      <rPr>
        <sz val="10"/>
        <rFont val="Arial"/>
      </rPr>
      <t>B</t>
    </r>
    <r>
      <rPr>
        <sz val="8"/>
        <rFont val="Verdana"/>
        <family val="2"/>
      </rPr>
      <t>26</t>
    </r>
    <r>
      <rPr>
        <sz val="10"/>
        <rFont val="Arial"/>
      </rPr>
      <t>O</t>
    </r>
    <r>
      <rPr>
        <sz val="8"/>
        <rFont val="Verdana"/>
        <family val="2"/>
      </rPr>
      <t>34</t>
    </r>
    <r>
      <rPr>
        <sz val="10"/>
        <rFont val="Arial"/>
      </rPr>
      <t>(OH)</t>
    </r>
    <r>
      <rPr>
        <sz val="8"/>
        <rFont val="Verdana"/>
        <family val="2"/>
      </rPr>
      <t>24</t>
    </r>
    <r>
      <rPr>
        <sz val="10"/>
        <rFont val="Arial"/>
      </rPr>
      <t>Cl</t>
    </r>
    <r>
      <rPr>
        <sz val="8"/>
        <rFont val="Verdana"/>
        <family val="2"/>
      </rPr>
      <t>4</t>
    </r>
    <r>
      <rPr>
        <sz val="10"/>
        <rFont val="Arial"/>
      </rPr>
      <t>·13H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</si>
  <si>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t>dimorph with ruitenbergite</t>
  </si>
  <si>
    <t>dimorph with pringleite</t>
  </si>
  <si>
    <r>
      <t>NaCaB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</si>
  <si>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(Y,REE,Ca,Na,Mn)</t>
    </r>
    <r>
      <rPr>
        <sz val="8"/>
        <rFont val="Verdana"/>
        <family val="2"/>
      </rPr>
      <t>15</t>
    </r>
    <r>
      <rPr>
        <sz val="10"/>
        <rFont val="Arial"/>
      </rPr>
      <t>CaFe</t>
    </r>
    <r>
      <rPr>
        <vertAlign val="superscript"/>
        <sz val="8"/>
        <rFont val="Verdana"/>
        <family val="2"/>
      </rPr>
      <t>2+</t>
    </r>
    <r>
      <rPr>
        <sz val="10"/>
        <rFont val="Arial"/>
      </rPr>
      <t>(P,Si)Si</t>
    </r>
    <r>
      <rPr>
        <sz val="8"/>
        <rFont val="Verdana"/>
        <family val="2"/>
      </rPr>
      <t>6</t>
    </r>
    <r>
      <rPr>
        <sz val="10"/>
        <rFont val="Arial"/>
      </rPr>
      <t>B</t>
    </r>
    <r>
      <rPr>
        <sz val="8"/>
        <rFont val="Verdana"/>
        <family val="2"/>
      </rPr>
      <t>3</t>
    </r>
    <r>
      <rPr>
        <sz val="10"/>
        <rFont val="Arial"/>
      </rPr>
      <t>O</t>
    </r>
    <r>
      <rPr>
        <sz val="8"/>
        <rFont val="Verdana"/>
        <family val="2"/>
      </rPr>
      <t>34</t>
    </r>
    <r>
      <rPr>
        <sz val="10"/>
        <rFont val="Arial"/>
      </rPr>
      <t>F</t>
    </r>
    <r>
      <rPr>
        <sz val="8"/>
        <rFont val="Verdana"/>
        <family val="2"/>
      </rPr>
      <t>14</t>
    </r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</si>
  <si>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Al</t>
    </r>
    <r>
      <rPr>
        <sz val="8"/>
        <rFont val="Verdana"/>
        <family val="2"/>
      </rPr>
      <t>3</t>
    </r>
    <r>
      <rPr>
        <sz val="10"/>
        <rFont val="Arial"/>
      </rPr>
      <t>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9</t>
    </r>
    <r>
      <rPr>
        <sz val="10"/>
        <rFont val="Arial"/>
      </rPr>
      <t>(OH)</t>
    </r>
  </si>
  <si>
    <r>
      <t>NaH</t>
    </r>
    <r>
      <rPr>
        <sz val="8"/>
        <rFont val="Verdana"/>
        <family val="2"/>
      </rPr>
      <t>4</t>
    </r>
    <r>
      <rPr>
        <sz val="10"/>
        <rFont val="Arial"/>
      </rPr>
      <t>(CO</t>
    </r>
    <r>
      <rPr>
        <sz val="8"/>
        <rFont val="Verdana"/>
        <family val="2"/>
      </rPr>
      <t>3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</si>
  <si>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t>BN</t>
  </si>
  <si>
    <r>
      <t>CsB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6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</si>
  <si>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RbB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6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</si>
  <si>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Na</t>
    </r>
    <r>
      <rPr>
        <sz val="8"/>
        <rFont val="Verdana"/>
        <family val="2"/>
      </rPr>
      <t>6</t>
    </r>
    <r>
      <rPr>
        <sz val="10"/>
        <rFont val="Arial"/>
      </rPr>
      <t>Mg[B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]</t>
    </r>
    <r>
      <rPr>
        <sz val="8"/>
        <rFont val="Verdana"/>
        <family val="2"/>
      </rPr>
      <t>4</t>
    </r>
    <r>
      <rPr>
        <sz val="10"/>
        <rFont val="Arial"/>
      </rPr>
      <t>·10H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</si>
  <si>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rPr>
        <sz val="10"/>
        <rFont val="Cambria"/>
        <family val="1"/>
      </rPr>
      <t>□ </t>
    </r>
    <r>
      <rPr>
        <sz val="10"/>
        <rFont val="Arial"/>
      </rPr>
      <t>(LiAl</t>
    </r>
    <r>
      <rPr>
        <sz val="8"/>
        <rFont val="Verdana"/>
        <family val="2"/>
      </rPr>
      <t>2</t>
    </r>
    <r>
      <rPr>
        <sz val="10"/>
        <rFont val="Arial"/>
      </rPr>
      <t>)Al</t>
    </r>
    <r>
      <rPr>
        <sz val="8"/>
        <rFont val="Verdana"/>
        <family val="2"/>
      </rPr>
      <t>6</t>
    </r>
    <r>
      <rPr>
        <sz val="10"/>
        <rFont val="Arial"/>
      </rPr>
      <t>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OH</t>
    </r>
  </si>
  <si>
    <r>
      <t>Na</t>
    </r>
    <r>
      <rPr>
        <sz val="8"/>
        <rFont val="Verdana"/>
        <family val="2"/>
      </rPr>
      <t>6</t>
    </r>
    <r>
      <rPr>
        <sz val="10"/>
        <rFont val="Arial"/>
      </rPr>
      <t>(Sr,Na)</t>
    </r>
    <r>
      <rPr>
        <sz val="8"/>
        <rFont val="Verdana"/>
        <family val="2"/>
      </rPr>
      <t>12</t>
    </r>
    <r>
      <rPr>
        <sz val="10"/>
        <rFont val="Arial"/>
      </rPr>
      <t>Ba</t>
    </r>
    <r>
      <rPr>
        <sz val="8"/>
        <rFont val="Verdana"/>
        <family val="2"/>
      </rPr>
      <t>2</t>
    </r>
    <r>
      <rPr>
        <sz val="10"/>
        <rFont val="Arial"/>
      </rPr>
      <t>Zr</t>
    </r>
    <r>
      <rPr>
        <sz val="8"/>
        <rFont val="Verdana"/>
        <family val="2"/>
      </rPr>
      <t>13</t>
    </r>
    <r>
      <rPr>
        <sz val="10"/>
        <rFont val="Arial"/>
      </rPr>
      <t>Si</t>
    </r>
    <r>
      <rPr>
        <sz val="8"/>
        <rFont val="Verdana"/>
        <family val="2"/>
      </rPr>
      <t>39</t>
    </r>
    <r>
      <rPr>
        <sz val="10"/>
        <rFont val="Arial"/>
      </rPr>
      <t>(B,Si)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123</t>
    </r>
    <r>
      <rPr>
        <sz val="10"/>
        <rFont val="Arial"/>
      </rPr>
      <t>(OH)</t>
    </r>
    <r>
      <rPr>
        <sz val="8"/>
        <rFont val="Verdana"/>
        <family val="2"/>
      </rPr>
      <t>12</t>
    </r>
    <r>
      <rPr>
        <sz val="10"/>
        <rFont val="Arial"/>
      </rPr>
      <t>·9H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</si>
  <si>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Mn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(OH)</t>
    </r>
    <r>
      <rPr>
        <sz val="8"/>
        <rFont val="Verdana"/>
        <family val="2"/>
      </rPr>
      <t>6</t>
    </r>
  </si>
  <si>
    <r>
      <t>Ca</t>
    </r>
    <r>
      <rPr>
        <sz val="8"/>
        <rFont val="Verdana"/>
        <family val="2"/>
      </rPr>
      <t>48</t>
    </r>
    <r>
      <rPr>
        <sz val="10"/>
        <rFont val="Arial"/>
      </rPr>
      <t>Mg</t>
    </r>
    <r>
      <rPr>
        <sz val="8"/>
        <rFont val="Verdana"/>
        <family val="2"/>
      </rPr>
      <t>16</t>
    </r>
    <r>
      <rPr>
        <sz val="10"/>
        <rFont val="Arial"/>
      </rPr>
      <t>Al(SiO</t>
    </r>
    <r>
      <rPr>
        <sz val="8"/>
        <rFont val="Verdana"/>
        <family val="2"/>
      </rPr>
      <t>3</t>
    </r>
    <r>
      <rPr>
        <sz val="10"/>
        <rFont val="Arial"/>
      </rPr>
      <t>OH)</t>
    </r>
    <r>
      <rPr>
        <sz val="8"/>
        <rFont val="Verdana"/>
        <family val="2"/>
      </rPr>
      <t>4</t>
    </r>
    <r>
      <rPr>
        <sz val="10"/>
        <rFont val="Arial"/>
      </rPr>
      <t>(CO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16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28</t>
    </r>
    <r>
      <rPr>
        <sz val="10"/>
        <rFont val="Arial"/>
      </rPr>
      <t>·(H</t>
    </r>
    <r>
      <rPr>
        <sz val="8"/>
        <rFont val="Verdana"/>
        <family val="2"/>
      </rPr>
      <t>2</t>
    </r>
    <r>
      <rPr>
        <sz val="10"/>
        <rFont val="Arial"/>
      </rPr>
      <t>O)</t>
    </r>
    <r>
      <rPr>
        <sz val="8"/>
        <rFont val="Verdana"/>
        <family val="2"/>
      </rPr>
      <t>3</t>
    </r>
    <r>
      <rPr>
        <sz val="10"/>
        <rFont val="Arial"/>
      </rPr>
      <t>(HCl)</t>
    </r>
    <r>
      <rPr>
        <sz val="8"/>
        <rFont val="Verdana"/>
        <family val="2"/>
      </rPr>
      <t>3</t>
    </r>
  </si>
  <si>
    <r>
      <t>CuB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4</t>
    </r>
  </si>
  <si>
    <r>
      <t>KB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6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</si>
  <si>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B(OH)</t>
    </r>
    <r>
      <rPr>
        <sz val="8"/>
        <rFont val="Verdana"/>
        <family val="2"/>
      </rPr>
      <t>3</t>
    </r>
  </si>
  <si>
    <r>
      <t>KNa</t>
    </r>
    <r>
      <rPr>
        <sz val="8"/>
        <rFont val="Verdana"/>
        <family val="2"/>
      </rPr>
      <t>2</t>
    </r>
    <r>
      <rPr>
        <sz val="10"/>
        <rFont val="Arial"/>
      </rPr>
      <t>Al</t>
    </r>
    <r>
      <rPr>
        <sz val="8"/>
        <rFont val="Verdana"/>
        <family val="2"/>
      </rPr>
      <t>4</t>
    </r>
    <r>
      <rPr>
        <sz val="10"/>
        <rFont val="Arial"/>
      </rPr>
      <t>(B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5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Cl</t>
    </r>
    <r>
      <rPr>
        <sz val="8"/>
        <rFont val="Verdana"/>
        <family val="2"/>
      </rPr>
      <t>3</t>
    </r>
    <r>
      <rPr>
        <sz val="10"/>
        <rFont val="Arial"/>
      </rPr>
      <t>·13H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</si>
  <si>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t>Bocharov et al. (1969)</t>
  </si>
  <si>
    <r>
      <t>NaB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6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</si>
  <si>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NbBO</t>
    </r>
    <r>
      <rPr>
        <sz val="8"/>
        <rFont val="Verdana"/>
        <family val="2"/>
      </rPr>
      <t>4</t>
    </r>
  </si>
  <si>
    <r>
      <t>NaFe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3</t>
    </r>
    <r>
      <rPr>
        <sz val="10"/>
        <rFont val="Arial"/>
      </rPr>
      <t>Al</t>
    </r>
    <r>
      <rPr>
        <sz val="8"/>
        <rFont val="Verdana"/>
        <family val="2"/>
      </rPr>
      <t>6</t>
    </r>
    <r>
      <rPr>
        <sz val="10"/>
        <rFont val="Arial"/>
      </rPr>
      <t>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OH</t>
    </r>
  </si>
  <si>
    <r>
      <t>Mn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3</t>
    </r>
    <r>
      <rPr>
        <sz val="10"/>
        <rFont val="Arial"/>
      </rPr>
      <t>B(OH)</t>
    </r>
    <r>
      <rPr>
        <sz val="8"/>
        <rFont val="Verdana"/>
        <family val="2"/>
      </rPr>
      <t>4</t>
    </r>
    <r>
      <rPr>
        <sz val="10"/>
        <rFont val="Arial"/>
      </rPr>
      <t>(PO</t>
    </r>
    <r>
      <rPr>
        <sz val="8"/>
        <rFont val="Verdana"/>
        <family val="2"/>
      </rPr>
      <t>4</t>
    </r>
    <r>
      <rPr>
        <sz val="10"/>
        <rFont val="Arial"/>
      </rPr>
      <t>)(OH)</t>
    </r>
    <r>
      <rPr>
        <sz val="8"/>
        <rFont val="Verdana"/>
        <family val="2"/>
      </rPr>
      <t>2</t>
    </r>
  </si>
  <si>
    <r>
      <t>NaBSi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5</t>
    </r>
    <r>
      <rPr>
        <sz val="10"/>
        <rFont val="Arial"/>
      </rPr>
      <t>(OH)</t>
    </r>
    <r>
      <rPr>
        <sz val="8"/>
        <rFont val="Verdana"/>
        <family val="2"/>
      </rPr>
      <t>2</t>
    </r>
  </si>
  <si>
    <r>
      <t>Ca</t>
    </r>
    <r>
      <rPr>
        <sz val="8"/>
        <rFont val="Verdana"/>
        <family val="2"/>
      </rPr>
      <t>4</t>
    </r>
    <r>
      <rPr>
        <sz val="10"/>
        <rFont val="Arial"/>
      </rPr>
      <t>(Mg</t>
    </r>
    <r>
      <rPr>
        <sz val="8"/>
        <rFont val="Verdana"/>
        <family val="2"/>
      </rPr>
      <t>6</t>
    </r>
    <r>
      <rPr>
        <sz val="10"/>
        <rFont val="Arial"/>
      </rPr>
      <t>Al</t>
    </r>
    <r>
      <rPr>
        <sz val="8"/>
        <rFont val="Verdana"/>
        <family val="2"/>
      </rPr>
      <t>6</t>
    </r>
    <r>
      <rPr>
        <sz val="10"/>
        <rFont val="Arial"/>
      </rPr>
      <t>)O</t>
    </r>
    <r>
      <rPr>
        <sz val="8"/>
        <rFont val="Verdana"/>
        <family val="2"/>
      </rPr>
      <t>4</t>
    </r>
    <r>
      <rPr>
        <sz val="10"/>
        <rFont val="Arial"/>
      </rPr>
      <t>[Si</t>
    </r>
    <r>
      <rPr>
        <sz val="8"/>
        <rFont val="Verdana"/>
        <family val="2"/>
      </rPr>
      <t>6</t>
    </r>
    <r>
      <rPr>
        <sz val="10"/>
        <rFont val="Arial"/>
      </rPr>
      <t>B</t>
    </r>
    <r>
      <rPr>
        <sz val="8"/>
        <rFont val="Verdana"/>
        <family val="2"/>
      </rPr>
      <t>3</t>
    </r>
    <r>
      <rPr>
        <sz val="10"/>
        <rFont val="Arial"/>
      </rPr>
      <t>Al</t>
    </r>
    <r>
      <rPr>
        <sz val="8"/>
        <rFont val="Verdana"/>
        <family val="2"/>
      </rPr>
      <t>3</t>
    </r>
    <r>
      <rPr>
        <sz val="10"/>
        <rFont val="Arial"/>
      </rPr>
      <t>O</t>
    </r>
    <r>
      <rPr>
        <sz val="8"/>
        <rFont val="Verdana"/>
        <family val="2"/>
      </rPr>
      <t>36</t>
    </r>
    <r>
      <rPr>
        <sz val="10"/>
        <rFont val="Arial"/>
      </rPr>
      <t>]</t>
    </r>
  </si>
  <si>
    <r>
      <t>Mg</t>
    </r>
    <r>
      <rPr>
        <sz val="8"/>
        <rFont val="Verdana"/>
        <family val="2"/>
      </rPr>
      <t>5</t>
    </r>
    <r>
      <rPr>
        <sz val="10"/>
        <rFont val="Arial"/>
      </rPr>
      <t>BO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5</t>
    </r>
    <r>
      <rPr>
        <sz val="10"/>
        <rFont val="Arial"/>
      </rPr>
      <t>Cl</t>
    </r>
    <r>
      <rPr>
        <sz val="8"/>
        <rFont val="Verdana"/>
        <family val="2"/>
      </rPr>
      <t>2</t>
    </r>
    <r>
      <rPr>
        <sz val="10"/>
        <rFont val="Arial"/>
      </rPr>
      <t>·4H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</si>
  <si>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5</t>
    </r>
  </si>
  <si>
    <t>Pertsev et al. (1980)</t>
  </si>
  <si>
    <r>
      <t>MgAlBO</t>
    </r>
    <r>
      <rPr>
        <sz val="8"/>
        <rFont val="Verdana"/>
        <family val="2"/>
      </rPr>
      <t>4</t>
    </r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</si>
  <si>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3</t>
    </r>
    <r>
      <rPr>
        <sz val="10"/>
        <rFont val="Arial"/>
      </rPr>
      <t>O</t>
    </r>
    <r>
      <rPr>
        <sz val="8"/>
        <rFont val="Verdana"/>
        <family val="2"/>
      </rPr>
      <t>4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Cl</t>
    </r>
  </si>
  <si>
    <r>
      <t>CeBSiO</t>
    </r>
    <r>
      <rPr>
        <sz val="8"/>
        <rFont val="Verdana"/>
        <family val="2"/>
      </rPr>
      <t>5</t>
    </r>
  </si>
  <si>
    <r>
      <t>SrCaB</t>
    </r>
    <r>
      <rPr>
        <sz val="8"/>
        <rFont val="Verdana"/>
        <family val="2"/>
      </rPr>
      <t>14</t>
    </r>
    <r>
      <rPr>
        <sz val="10"/>
        <rFont val="Arial"/>
      </rPr>
      <t>O</t>
    </r>
    <r>
      <rPr>
        <sz val="8"/>
        <rFont val="Verdana"/>
        <family val="2"/>
      </rPr>
      <t>20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·5H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</si>
  <si>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NaCa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9</t>
    </r>
    <r>
      <rPr>
        <sz val="10"/>
        <rFont val="Arial"/>
      </rPr>
      <t>O</t>
    </r>
    <r>
      <rPr>
        <sz val="8"/>
        <rFont val="Verdana"/>
        <family val="2"/>
      </rPr>
      <t>14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</si>
  <si>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t>Malinko et al. (1995)</t>
  </si>
  <si>
    <r>
      <t>Ca</t>
    </r>
    <r>
      <rPr>
        <sz val="8"/>
        <rFont val="Verdana"/>
        <family val="2"/>
      </rPr>
      <t>6</t>
    </r>
    <r>
      <rPr>
        <sz val="10"/>
        <rFont val="Arial"/>
      </rPr>
      <t>Fe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2</t>
    </r>
    <r>
      <rPr>
        <sz val="10"/>
        <rFont val="Arial"/>
      </rPr>
      <t>(SO</t>
    </r>
    <r>
      <rPr>
        <sz val="8"/>
        <rFont val="Verdana"/>
        <family val="2"/>
      </rPr>
      <t>4</t>
    </r>
    <r>
      <rPr>
        <sz val="10"/>
        <rFont val="Arial"/>
      </rPr>
      <t>)</t>
    </r>
    <r>
      <rPr>
        <sz val="8"/>
        <rFont val="Verdana"/>
        <family val="2"/>
      </rPr>
      <t>2.5</t>
    </r>
    <r>
      <rPr>
        <sz val="10"/>
        <rFont val="Arial"/>
      </rPr>
      <t>[B(OH)</t>
    </r>
    <r>
      <rPr>
        <sz val="8"/>
        <rFont val="Verdana"/>
        <family val="2"/>
      </rPr>
      <t>4</t>
    </r>
    <r>
      <rPr>
        <sz val="10"/>
        <rFont val="Arial"/>
      </rPr>
      <t>](OH)</t>
    </r>
    <r>
      <rPr>
        <sz val="8"/>
        <rFont val="Verdana"/>
        <family val="2"/>
      </rPr>
      <t>12</t>
    </r>
    <r>
      <rPr>
        <sz val="10"/>
        <rFont val="Arial"/>
      </rPr>
      <t>·25H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</si>
  <si>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5</t>
    </r>
  </si>
  <si>
    <r>
      <t>Mg</t>
    </r>
    <r>
      <rPr>
        <sz val="8"/>
        <rFont val="Verdana"/>
        <family val="2"/>
      </rPr>
      <t>3</t>
    </r>
    <r>
      <rPr>
        <sz val="10"/>
        <rFont val="Arial"/>
      </rPr>
      <t>[B(OH)</t>
    </r>
    <r>
      <rPr>
        <sz val="8"/>
        <rFont val="Verdana"/>
        <family val="2"/>
      </rPr>
      <t>4</t>
    </r>
    <r>
      <rPr>
        <sz val="10"/>
        <rFont val="Arial"/>
      </rPr>
      <t>]</t>
    </r>
    <r>
      <rPr>
        <sz val="8"/>
        <rFont val="Verdana"/>
        <family val="2"/>
      </rPr>
      <t>2</t>
    </r>
    <r>
      <rPr>
        <sz val="10"/>
        <rFont val="Arial"/>
      </rPr>
      <t>(SO</t>
    </r>
    <r>
      <rPr>
        <sz val="8"/>
        <rFont val="Verdana"/>
        <family val="2"/>
      </rPr>
      <t>4</t>
    </r>
    <r>
      <rPr>
        <sz val="10"/>
        <rFont val="Arial"/>
      </rPr>
      <t>)(OH,F)</t>
    </r>
    <r>
      <rPr>
        <sz val="8"/>
        <rFont val="Verdana"/>
        <family val="2"/>
      </rPr>
      <t>2</t>
    </r>
  </si>
  <si>
    <r>
      <t>Ca</t>
    </r>
    <r>
      <rPr>
        <sz val="8"/>
        <rFont val="Verdana"/>
        <family val="2"/>
      </rPr>
      <t>4</t>
    </r>
    <r>
      <rPr>
        <sz val="10"/>
        <rFont val="Arial"/>
      </rPr>
      <t>Ce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2</t>
    </r>
    <r>
      <rPr>
        <sz val="10"/>
        <rFont val="Arial"/>
      </rPr>
      <t>Ti(B</t>
    </r>
    <r>
      <rPr>
        <sz val="8"/>
        <rFont val="Verdana"/>
        <family val="2"/>
      </rPr>
      <t>4</t>
    </r>
    <r>
      <rPr>
        <sz val="10"/>
        <rFont val="Arial"/>
      </rPr>
      <t>Si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22</t>
    </r>
    <r>
      <rPr>
        <sz val="10"/>
        <rFont val="Arial"/>
      </rPr>
      <t>)(OH)</t>
    </r>
    <r>
      <rPr>
        <sz val="8"/>
        <rFont val="Verdana"/>
        <family val="2"/>
      </rPr>
      <t>2</t>
    </r>
  </si>
  <si>
    <r>
      <t>Ca</t>
    </r>
    <r>
      <rPr>
        <sz val="8"/>
        <rFont val="Verdana"/>
        <family val="2"/>
      </rPr>
      <t>3</t>
    </r>
    <r>
      <rPr>
        <sz val="10"/>
        <rFont val="Arial"/>
      </rPr>
      <t>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6</t>
    </r>
  </si>
  <si>
    <t>Kusachi et al. (1995)</t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</si>
  <si>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Mn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O</t>
    </r>
    <r>
      <rPr>
        <sz val="8"/>
        <rFont val="Verdana"/>
        <family val="2"/>
      </rPr>
      <t>2</t>
    </r>
    <r>
      <rPr>
        <sz val="10"/>
        <rFont val="Arial"/>
      </rPr>
      <t>BO</t>
    </r>
    <r>
      <rPr>
        <sz val="8"/>
        <rFont val="Verdana"/>
        <family val="2"/>
      </rPr>
      <t>3</t>
    </r>
  </si>
  <si>
    <r>
      <t>Ba</t>
    </r>
    <r>
      <rPr>
        <sz val="8"/>
        <rFont val="Verdana"/>
        <family val="2"/>
      </rPr>
      <t>4</t>
    </r>
    <r>
      <rPr>
        <sz val="10"/>
        <rFont val="Arial"/>
      </rPr>
      <t>(Fe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,Ti)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2</t>
    </r>
    <r>
      <rPr>
        <sz val="10"/>
        <rFont val="Arial"/>
      </rPr>
      <t>[B</t>
    </r>
    <r>
      <rPr>
        <sz val="8"/>
        <rFont val="Verdana"/>
        <family val="2"/>
      </rPr>
      <t>2</t>
    </r>
    <r>
      <rPr>
        <sz val="10"/>
        <rFont val="Arial"/>
      </rPr>
      <t>Si</t>
    </r>
    <r>
      <rPr>
        <sz val="8"/>
        <rFont val="Verdana"/>
        <family val="2"/>
      </rPr>
      <t>8</t>
    </r>
    <r>
      <rPr>
        <sz val="10"/>
        <rFont val="Arial"/>
      </rPr>
      <t>O</t>
    </r>
    <r>
      <rPr>
        <sz val="8"/>
        <rFont val="Verdana"/>
        <family val="2"/>
      </rPr>
      <t>27</t>
    </r>
    <r>
      <rPr>
        <sz val="10"/>
        <rFont val="Arial"/>
      </rPr>
      <t>]Cl</t>
    </r>
    <r>
      <rPr>
        <sz val="8"/>
        <rFont val="Verdana"/>
        <family val="2"/>
      </rPr>
      <t>x</t>
    </r>
    <r>
      <rPr>
        <sz val="10"/>
        <rFont val="Arial"/>
      </rPr>
      <t>; x = 0 to 1</t>
    </r>
  </si>
  <si>
    <r>
      <t>Na</t>
    </r>
    <r>
      <rPr>
        <sz val="8"/>
        <rFont val="Verdana"/>
        <family val="2"/>
      </rPr>
      <t>2</t>
    </r>
    <r>
      <rPr>
        <sz val="10"/>
        <rFont val="Arial"/>
      </rPr>
      <t>B(OH)</t>
    </r>
    <r>
      <rPr>
        <sz val="8"/>
        <rFont val="Verdana"/>
        <family val="2"/>
      </rPr>
      <t>4</t>
    </r>
    <r>
      <rPr>
        <sz val="10"/>
        <rFont val="Arial"/>
      </rPr>
      <t>Cl</t>
    </r>
  </si>
  <si>
    <r>
      <t>Ca</t>
    </r>
    <r>
      <rPr>
        <sz val="8"/>
        <rFont val="Verdana"/>
        <family val="2"/>
      </rPr>
      <t>4</t>
    </r>
    <r>
      <rPr>
        <sz val="10"/>
        <rFont val="Arial"/>
      </rPr>
      <t>B</t>
    </r>
    <r>
      <rPr>
        <sz val="8"/>
        <rFont val="Verdana"/>
        <family val="2"/>
      </rPr>
      <t>10</t>
    </r>
    <r>
      <rPr>
        <sz val="10"/>
        <rFont val="Arial"/>
      </rPr>
      <t>O</t>
    </r>
    <r>
      <rPr>
        <sz val="8"/>
        <rFont val="Verdana"/>
        <family val="2"/>
      </rPr>
      <t>19</t>
    </r>
    <r>
      <rPr>
        <sz val="10"/>
        <rFont val="Arial"/>
      </rPr>
      <t>·20H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</si>
  <si>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4</t>
    </r>
    <r>
      <rPr>
        <sz val="10"/>
        <rFont val="Arial"/>
      </rPr>
      <t>Mg[AsB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11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]</t>
    </r>
    <r>
      <rPr>
        <sz val="8"/>
        <rFont val="Verdana"/>
        <family val="2"/>
      </rPr>
      <t>2</t>
    </r>
    <r>
      <rPr>
        <sz val="10"/>
        <rFont val="Arial"/>
      </rPr>
      <t>·14H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</si>
  <si>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t>Dusmatov et al. (1967)</t>
  </si>
  <si>
    <r>
      <t>K(Na,K, </t>
    </r>
    <r>
      <rPr>
        <sz val="10"/>
        <rFont val="Calibri"/>
        <family val="2"/>
      </rPr>
      <t>□</t>
    </r>
    <r>
      <rPr>
        <sz val="10"/>
        <rFont val="Arial"/>
      </rPr>
      <t>)</t>
    </r>
    <r>
      <rPr>
        <sz val="8"/>
        <rFont val="Verdana"/>
        <family val="2"/>
      </rPr>
      <t>9</t>
    </r>
    <r>
      <rPr>
        <sz val="10"/>
        <rFont val="Arial"/>
      </rPr>
      <t>Ca</t>
    </r>
    <r>
      <rPr>
        <sz val="8"/>
        <rFont val="Verdana"/>
        <family val="2"/>
      </rPr>
      <t>2</t>
    </r>
    <r>
      <rPr>
        <sz val="10"/>
        <rFont val="Arial"/>
      </rPr>
      <t>Ba</t>
    </r>
    <r>
      <rPr>
        <sz val="8"/>
        <rFont val="Verdana"/>
        <family val="2"/>
      </rPr>
      <t>6</t>
    </r>
    <r>
      <rPr>
        <sz val="10"/>
        <rFont val="Arial"/>
      </rPr>
      <t>Mn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6</t>
    </r>
    <r>
      <rPr>
        <sz val="10"/>
        <rFont val="Arial"/>
      </rPr>
      <t>Ti</t>
    </r>
    <r>
      <rPr>
        <sz val="8"/>
        <rFont val="Verdana"/>
        <family val="2"/>
      </rPr>
      <t>6</t>
    </r>
    <r>
      <rPr>
        <sz val="10"/>
        <rFont val="Arial"/>
      </rPr>
      <t>B</t>
    </r>
    <r>
      <rPr>
        <sz val="8"/>
        <rFont val="Verdana"/>
        <family val="2"/>
      </rPr>
      <t>12</t>
    </r>
    <r>
      <rPr>
        <sz val="10"/>
        <rFont val="Arial"/>
      </rPr>
      <t>Si</t>
    </r>
    <r>
      <rPr>
        <sz val="8"/>
        <rFont val="Verdana"/>
        <family val="2"/>
      </rPr>
      <t>36</t>
    </r>
    <r>
      <rPr>
        <sz val="10"/>
        <rFont val="Arial"/>
      </rPr>
      <t>O</t>
    </r>
    <r>
      <rPr>
        <sz val="8"/>
        <rFont val="Verdana"/>
        <family val="2"/>
      </rPr>
      <t>114</t>
    </r>
    <r>
      <rPr>
        <sz val="10"/>
        <rFont val="Arial"/>
      </rPr>
      <t>(O,OH,F)</t>
    </r>
    <r>
      <rPr>
        <sz val="8"/>
        <rFont val="Verdana"/>
        <family val="2"/>
      </rPr>
      <t>11</t>
    </r>
  </si>
  <si>
    <r>
      <t>Na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5</t>
    </r>
    <r>
      <rPr>
        <sz val="10"/>
        <rFont val="Arial"/>
      </rPr>
      <t>(OH)</t>
    </r>
    <r>
      <rPr>
        <sz val="8"/>
        <rFont val="Verdana"/>
        <family val="2"/>
      </rPr>
      <t>4</t>
    </r>
    <r>
      <rPr>
        <sz val="10"/>
        <rFont val="Arial"/>
      </rPr>
      <t>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</si>
  <si>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6</t>
    </r>
    <r>
      <rPr>
        <sz val="10"/>
        <rFont val="Arial"/>
      </rPr>
      <t>Al</t>
    </r>
    <r>
      <rPr>
        <sz val="8"/>
        <rFont val="Verdana"/>
        <family val="2"/>
      </rPr>
      <t>4</t>
    </r>
    <r>
      <rPr>
        <sz val="10"/>
        <rFont val="Arial"/>
      </rPr>
      <t>[B</t>
    </r>
    <r>
      <rPr>
        <sz val="8"/>
        <rFont val="Verdana"/>
        <family val="2"/>
      </rPr>
      <t>2</t>
    </r>
    <r>
      <rPr>
        <sz val="10"/>
        <rFont val="Arial"/>
      </rPr>
      <t>Si</t>
    </r>
    <r>
      <rPr>
        <sz val="8"/>
        <rFont val="Verdana"/>
        <family val="2"/>
      </rPr>
      <t>8</t>
    </r>
    <r>
      <rPr>
        <sz val="10"/>
        <rFont val="Arial"/>
      </rPr>
      <t>O</t>
    </r>
    <r>
      <rPr>
        <sz val="8"/>
        <rFont val="Verdana"/>
        <family val="2"/>
      </rPr>
      <t>30</t>
    </r>
    <r>
      <rPr>
        <sz val="10"/>
        <rFont val="Arial"/>
      </rPr>
      <t>](OH)</t>
    </r>
    <r>
      <rPr>
        <sz val="8"/>
        <rFont val="Verdana"/>
        <family val="2"/>
      </rPr>
      <t>2</t>
    </r>
  </si>
  <si>
    <r>
      <t>Ba</t>
    </r>
    <r>
      <rPr>
        <sz val="8"/>
        <rFont val="Verdana"/>
        <family val="2"/>
      </rPr>
      <t>4</t>
    </r>
    <r>
      <rPr>
        <sz val="10"/>
        <rFont val="Arial"/>
      </rPr>
      <t>(Ti,Fe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,Mg)</t>
    </r>
    <r>
      <rPr>
        <sz val="8"/>
        <rFont val="Verdana"/>
        <family val="2"/>
      </rPr>
      <t>4</t>
    </r>
    <r>
      <rPr>
        <sz val="10"/>
        <rFont val="Arial"/>
      </rPr>
      <t>(O,OH)</t>
    </r>
    <r>
      <rPr>
        <sz val="8"/>
        <rFont val="Verdana"/>
        <family val="2"/>
      </rPr>
      <t>2</t>
    </r>
    <r>
      <rPr>
        <sz val="10"/>
        <rFont val="Arial"/>
      </rPr>
      <t>[B</t>
    </r>
    <r>
      <rPr>
        <sz val="8"/>
        <rFont val="Verdana"/>
        <family val="2"/>
      </rPr>
      <t>2</t>
    </r>
    <r>
      <rPr>
        <sz val="10"/>
        <rFont val="Arial"/>
      </rPr>
      <t>Si</t>
    </r>
    <r>
      <rPr>
        <sz val="8"/>
        <rFont val="Verdana"/>
        <family val="2"/>
      </rPr>
      <t>8</t>
    </r>
    <r>
      <rPr>
        <sz val="10"/>
        <rFont val="Arial"/>
      </rPr>
      <t>O</t>
    </r>
    <r>
      <rPr>
        <sz val="8"/>
        <rFont val="Verdana"/>
        <family val="2"/>
      </rPr>
      <t>27</t>
    </r>
    <r>
      <rPr>
        <sz val="10"/>
        <rFont val="Arial"/>
      </rPr>
      <t>]Cl</t>
    </r>
    <r>
      <rPr>
        <sz val="8"/>
        <rFont val="Verdana"/>
        <family val="2"/>
      </rPr>
      <t>x</t>
    </r>
  </si>
  <si>
    <r>
      <t>NaMn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3</t>
    </r>
    <r>
      <rPr>
        <sz val="10"/>
        <rFont val="Arial"/>
      </rPr>
      <t>Al</t>
    </r>
    <r>
      <rPr>
        <sz val="8"/>
        <rFont val="Verdana"/>
        <family val="2"/>
      </rPr>
      <t>6</t>
    </r>
    <r>
      <rPr>
        <sz val="10"/>
        <rFont val="Arial"/>
      </rPr>
      <t>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OH</t>
    </r>
  </si>
  <si>
    <r>
      <t>SrB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9</t>
    </r>
    <r>
      <rPr>
        <sz val="10"/>
        <rFont val="Arial"/>
      </rPr>
      <t>(OH)</t>
    </r>
    <r>
      <rPr>
        <sz val="8"/>
        <rFont val="Verdana"/>
        <family val="2"/>
      </rPr>
      <t>2</t>
    </r>
    <r>
      <rPr>
        <sz val="10"/>
        <rFont val="Arial"/>
      </rPr>
      <t>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</si>
  <si>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Mn</t>
    </r>
    <r>
      <rPr>
        <vertAlign val="superscript"/>
        <sz val="8"/>
        <rFont val="Verdana"/>
        <family val="2"/>
      </rPr>
      <t>2+</t>
    </r>
    <r>
      <rPr>
        <sz val="10"/>
        <rFont val="Arial"/>
      </rPr>
      <t>Sn</t>
    </r>
    <r>
      <rPr>
        <vertAlign val="superscript"/>
        <sz val="8"/>
        <rFont val="Verdana"/>
        <family val="2"/>
      </rPr>
      <t>4+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2</t>
    </r>
  </si>
  <si>
    <r>
      <t>NaCaB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8</t>
    </r>
    <r>
      <rPr>
        <sz val="10"/>
        <rFont val="Arial"/>
      </rPr>
      <t>(OH)</t>
    </r>
    <r>
      <rPr>
        <sz val="8"/>
        <rFont val="Verdana"/>
        <family val="2"/>
      </rPr>
      <t>2</t>
    </r>
    <r>
      <rPr>
        <sz val="10"/>
        <rFont val="Arial"/>
      </rPr>
      <t>·3H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</si>
  <si>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2</t>
    </r>
    <r>
      <rPr>
        <sz val="10"/>
        <rFont val="Arial"/>
      </rPr>
      <t>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9</t>
    </r>
    <r>
      <rPr>
        <sz val="10"/>
        <rFont val="Arial"/>
      </rPr>
      <t>(OH)·H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</si>
  <si>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NaCaB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6</t>
    </r>
    <r>
      <rPr>
        <sz val="10"/>
        <rFont val="Arial"/>
      </rPr>
      <t>(OH)</t>
    </r>
    <r>
      <rPr>
        <sz val="8"/>
        <rFont val="Verdana"/>
        <family val="2"/>
      </rPr>
      <t>6</t>
    </r>
    <r>
      <rPr>
        <sz val="10"/>
        <rFont val="Arial"/>
      </rPr>
      <t>·5H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</si>
  <si>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2</t>
    </r>
    <r>
      <rPr>
        <sz val="10"/>
        <rFont val="Arial"/>
      </rPr>
      <t>(OH)</t>
    </r>
    <r>
      <rPr>
        <sz val="8"/>
        <rFont val="Verdana"/>
        <family val="2"/>
      </rPr>
      <t>4</t>
    </r>
  </si>
  <si>
    <r>
      <t>CaMg</t>
    </r>
    <r>
      <rPr>
        <sz val="8"/>
        <rFont val="Verdana"/>
        <family val="2"/>
      </rPr>
      <t>3</t>
    </r>
    <r>
      <rPr>
        <sz val="10"/>
        <rFont val="Arial"/>
      </rPr>
      <t>(Al</t>
    </r>
    <r>
      <rPr>
        <sz val="8"/>
        <rFont val="Verdana"/>
        <family val="2"/>
      </rPr>
      <t>5</t>
    </r>
    <r>
      <rPr>
        <sz val="10"/>
        <rFont val="Arial"/>
      </rPr>
      <t>Mg)(Si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OH</t>
    </r>
  </si>
  <si>
    <r>
      <t>NaV</t>
    </r>
    <r>
      <rPr>
        <sz val="8"/>
        <rFont val="Verdana"/>
        <family val="2"/>
      </rPr>
      <t>3</t>
    </r>
    <r>
      <rPr>
        <sz val="10"/>
        <rFont val="Arial"/>
      </rPr>
      <t>(Cr</t>
    </r>
    <r>
      <rPr>
        <sz val="8"/>
        <rFont val="Verdana"/>
        <family val="2"/>
      </rPr>
      <t>4</t>
    </r>
    <r>
      <rPr>
        <sz val="10"/>
        <rFont val="Arial"/>
      </rPr>
      <t>Mg</t>
    </r>
    <r>
      <rPr>
        <sz val="8"/>
        <rFont val="Verdana"/>
        <family val="2"/>
      </rPr>
      <t>2</t>
    </r>
    <r>
      <rPr>
        <sz val="10"/>
        <rFont val="Arial"/>
      </rPr>
      <t>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</si>
  <si>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NaV</t>
    </r>
    <r>
      <rPr>
        <sz val="8"/>
        <rFont val="Verdana"/>
        <family val="2"/>
      </rPr>
      <t>3</t>
    </r>
    <r>
      <rPr>
        <sz val="10"/>
        <rFont val="Arial"/>
      </rPr>
      <t>(Al</t>
    </r>
    <r>
      <rPr>
        <sz val="8"/>
        <rFont val="Verdana"/>
        <family val="2"/>
      </rPr>
      <t>4</t>
    </r>
    <r>
      <rPr>
        <sz val="10"/>
        <rFont val="Arial"/>
      </rPr>
      <t>Mg</t>
    </r>
    <r>
      <rPr>
        <sz val="8"/>
        <rFont val="Verdana"/>
        <family val="2"/>
      </rPr>
      <t>2</t>
    </r>
    <r>
      <rPr>
        <sz val="10"/>
        <rFont val="Arial"/>
      </rPr>
      <t>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</si>
  <si>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Sr</t>
    </r>
    <r>
      <rPr>
        <sz val="8"/>
        <rFont val="Verdana"/>
        <family val="2"/>
      </rPr>
      <t>2</t>
    </r>
    <r>
      <rPr>
        <sz val="10"/>
        <rFont val="Arial"/>
      </rPr>
      <t>[B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8</t>
    </r>
    <r>
      <rPr>
        <sz val="10"/>
        <rFont val="Arial"/>
      </rPr>
      <t>(OH)]</t>
    </r>
    <r>
      <rPr>
        <sz val="8"/>
        <rFont val="Verdana"/>
        <family val="2"/>
      </rPr>
      <t>2</t>
    </r>
    <r>
      <rPr>
        <sz val="10"/>
        <rFont val="Arial"/>
      </rPr>
      <t>B(OH)</t>
    </r>
    <r>
      <rPr>
        <sz val="8"/>
        <rFont val="Verdana"/>
        <family val="2"/>
      </rPr>
      <t>3</t>
    </r>
    <r>
      <rPr>
        <sz val="10"/>
        <rFont val="Arial"/>
      </rPr>
      <t>·H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</si>
  <si>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(Ca,Ce,La,Th)</t>
    </r>
    <r>
      <rPr>
        <sz val="8"/>
        <rFont val="Verdana"/>
        <family val="2"/>
      </rPr>
      <t>15</t>
    </r>
    <r>
      <rPr>
        <sz val="10"/>
        <rFont val="Arial"/>
      </rPr>
      <t>As</t>
    </r>
    <r>
      <rPr>
        <vertAlign val="superscript"/>
        <sz val="8"/>
        <rFont val="Verdana"/>
        <family val="2"/>
      </rPr>
      <t>5+</t>
    </r>
    <r>
      <rPr>
        <sz val="10"/>
        <rFont val="Arial"/>
      </rPr>
      <t>(As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,Na)</t>
    </r>
    <r>
      <rPr>
        <sz val="8"/>
        <rFont val="Verdana"/>
        <family val="2"/>
      </rPr>
      <t>0.5</t>
    </r>
    <r>
      <rPr>
        <sz val="10"/>
        <rFont val="Arial"/>
      </rPr>
      <t>Fe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0.7</t>
    </r>
    <r>
      <rPr>
        <sz val="10"/>
        <rFont val="Arial"/>
      </rPr>
      <t>Si</t>
    </r>
    <r>
      <rPr>
        <sz val="8"/>
        <rFont val="Verdana"/>
        <family val="2"/>
      </rPr>
      <t>6</t>
    </r>
    <r>
      <rPr>
        <sz val="10"/>
        <rFont val="Arial"/>
      </rPr>
      <t>B</t>
    </r>
    <r>
      <rPr>
        <sz val="8"/>
        <rFont val="Verdana"/>
        <family val="2"/>
      </rPr>
      <t>4</t>
    </r>
    <r>
      <rPr>
        <sz val="10"/>
        <rFont val="Arial"/>
      </rPr>
      <t>(O,F)</t>
    </r>
    <r>
      <rPr>
        <sz val="8"/>
        <rFont val="Verdana"/>
        <family val="2"/>
      </rPr>
      <t>47</t>
    </r>
  </si>
  <si>
    <r>
      <t>Mn</t>
    </r>
    <r>
      <rPr>
        <sz val="8"/>
        <rFont val="Verdana"/>
        <family val="2"/>
      </rPr>
      <t>4</t>
    </r>
    <r>
      <rPr>
        <sz val="10"/>
        <rFont val="Arial"/>
      </rPr>
      <t>SnB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2</t>
    </r>
    <r>
      <rPr>
        <sz val="10"/>
        <rFont val="Arial"/>
      </rPr>
      <t>(Si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)</t>
    </r>
    <r>
      <rPr>
        <sz val="8"/>
        <rFont val="Verdana"/>
        <family val="2"/>
      </rPr>
      <t>2</t>
    </r>
    <r>
      <rPr>
        <sz val="10"/>
        <rFont val="Arial"/>
      </rPr>
      <t>(OH)</t>
    </r>
    <r>
      <rPr>
        <sz val="8"/>
        <rFont val="Verdana"/>
        <family val="2"/>
      </rPr>
      <t>2</t>
    </r>
  </si>
  <si>
    <r>
      <t>Ca</t>
    </r>
    <r>
      <rPr>
        <sz val="8"/>
        <rFont val="Verdana"/>
        <family val="2"/>
      </rPr>
      <t>6</t>
    </r>
    <r>
      <rPr>
        <sz val="10"/>
        <rFont val="Arial"/>
      </rPr>
      <t>B</t>
    </r>
    <r>
      <rPr>
        <sz val="8"/>
        <rFont val="Verdana"/>
        <family val="2"/>
      </rPr>
      <t>14</t>
    </r>
    <r>
      <rPr>
        <sz val="10"/>
        <rFont val="Arial"/>
      </rPr>
      <t>O</t>
    </r>
    <r>
      <rPr>
        <sz val="8"/>
        <rFont val="Verdana"/>
        <family val="2"/>
      </rPr>
      <t>19</t>
    </r>
    <r>
      <rPr>
        <sz val="10"/>
        <rFont val="Arial"/>
      </rPr>
      <t>(SO</t>
    </r>
    <r>
      <rPr>
        <sz val="8"/>
        <rFont val="Verdana"/>
        <family val="2"/>
      </rPr>
      <t>4</t>
    </r>
    <r>
      <rPr>
        <sz val="10"/>
        <rFont val="Arial"/>
      </rPr>
      <t>)(OH)</t>
    </r>
    <r>
      <rPr>
        <sz val="8"/>
        <rFont val="Verdana"/>
        <family val="2"/>
      </rPr>
      <t>14</t>
    </r>
    <r>
      <rPr>
        <sz val="10"/>
        <rFont val="Arial"/>
      </rPr>
      <t>·5H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</si>
  <si>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[Pb</t>
    </r>
    <r>
      <rPr>
        <sz val="8"/>
        <rFont val="Verdana"/>
        <family val="2"/>
      </rPr>
      <t>32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][Pb</t>
    </r>
    <r>
      <rPr>
        <sz val="8"/>
        <rFont val="Verdana"/>
        <family val="2"/>
      </rPr>
      <t>4</t>
    </r>
    <r>
      <rPr>
        <sz val="10"/>
        <rFont val="Arial"/>
      </rPr>
      <t>Mn</t>
    </r>
    <r>
      <rPr>
        <sz val="8"/>
        <rFont val="Verdana"/>
        <family val="2"/>
      </rPr>
      <t>2</t>
    </r>
    <r>
      <rPr>
        <sz val="10"/>
        <rFont val="Arial"/>
      </rPr>
      <t>O]Cl</t>
    </r>
    <r>
      <rPr>
        <sz val="8"/>
        <rFont val="Verdana"/>
        <family val="2"/>
      </rPr>
      <t>14</t>
    </r>
    <r>
      <rPr>
        <sz val="10"/>
        <rFont val="Arial"/>
      </rPr>
      <t>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8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</si>
  <si>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KCa</t>
    </r>
    <r>
      <rPr>
        <sz val="8"/>
        <rFont val="Verdana"/>
        <family val="2"/>
      </rPr>
      <t>4</t>
    </r>
    <r>
      <rPr>
        <sz val="10"/>
        <rFont val="Arial"/>
      </rPr>
      <t>[B</t>
    </r>
    <r>
      <rPr>
        <sz val="8"/>
        <rFont val="Verdana"/>
        <family val="2"/>
      </rPr>
      <t>5</t>
    </r>
    <r>
      <rPr>
        <sz val="10"/>
        <rFont val="Arial"/>
      </rPr>
      <t>O</t>
    </r>
    <r>
      <rPr>
        <sz val="8"/>
        <rFont val="Verdana"/>
        <family val="2"/>
      </rPr>
      <t>8</t>
    </r>
    <r>
      <rPr>
        <sz val="10"/>
        <rFont val="Arial"/>
      </rPr>
      <t>(OH)]</t>
    </r>
    <r>
      <rPr>
        <sz val="8"/>
        <rFont val="Verdana"/>
        <family val="2"/>
      </rPr>
      <t>4</t>
    </r>
    <r>
      <rPr>
        <sz val="10"/>
        <rFont val="Arial"/>
      </rPr>
      <t>[B(OH)</t>
    </r>
    <r>
      <rPr>
        <sz val="8"/>
        <rFont val="Verdana"/>
        <family val="2"/>
      </rPr>
      <t>3</t>
    </r>
    <r>
      <rPr>
        <sz val="10"/>
        <rFont val="Arial"/>
      </rPr>
      <t>]</t>
    </r>
    <r>
      <rPr>
        <sz val="8"/>
        <rFont val="Verdana"/>
        <family val="2"/>
      </rPr>
      <t>2</t>
    </r>
    <r>
      <rPr>
        <sz val="10"/>
        <rFont val="Arial"/>
      </rPr>
      <t>Cl·4H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</si>
  <si>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16</t>
    </r>
    <r>
      <rPr>
        <sz val="10"/>
        <rFont val="Arial"/>
      </rPr>
      <t>(Mg,Li)</t>
    </r>
    <r>
      <rPr>
        <sz val="8"/>
        <rFont val="Verdana"/>
        <family val="2"/>
      </rPr>
      <t>2</t>
    </r>
    <r>
      <rPr>
        <sz val="10"/>
        <rFont val="Arial"/>
      </rPr>
      <t>[B</t>
    </r>
    <r>
      <rPr>
        <sz val="8"/>
        <rFont val="Verdana"/>
        <family val="2"/>
      </rPr>
      <t>13</t>
    </r>
    <r>
      <rPr>
        <sz val="10"/>
        <rFont val="Arial"/>
      </rPr>
      <t>O</t>
    </r>
    <r>
      <rPr>
        <sz val="8"/>
        <rFont val="Verdana"/>
        <family val="2"/>
      </rPr>
      <t>17</t>
    </r>
    <r>
      <rPr>
        <sz val="10"/>
        <rFont val="Arial"/>
      </rPr>
      <t>(OH)</t>
    </r>
    <r>
      <rPr>
        <sz val="8"/>
        <rFont val="Verdana"/>
        <family val="2"/>
      </rPr>
      <t>12</t>
    </r>
    <r>
      <rPr>
        <sz val="10"/>
        <rFont val="Arial"/>
      </rPr>
      <t>]</t>
    </r>
    <r>
      <rPr>
        <sz val="8"/>
        <rFont val="Verdana"/>
        <family val="2"/>
      </rPr>
      <t>4</t>
    </r>
    <r>
      <rPr>
        <sz val="10"/>
        <rFont val="Arial"/>
      </rPr>
      <t>Cl</t>
    </r>
    <r>
      <rPr>
        <sz val="8"/>
        <rFont val="Verdana"/>
        <family val="2"/>
      </rPr>
      <t>6</t>
    </r>
    <r>
      <rPr>
        <sz val="10"/>
        <rFont val="Arial"/>
      </rPr>
      <t>·28H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</si>
  <si>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5</t>
    </r>
    <r>
      <rPr>
        <sz val="10"/>
        <rFont val="Arial"/>
      </rPr>
      <t>Mg(B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)</t>
    </r>
    <r>
      <rPr>
        <sz val="8"/>
        <rFont val="Verdana"/>
        <family val="2"/>
      </rPr>
      <t>6</t>
    </r>
    <r>
      <rPr>
        <sz val="10"/>
        <rFont val="Arial"/>
      </rPr>
      <t>·30H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</si>
  <si>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(Mg,Ti,Fe,Cr,Al)</t>
    </r>
    <r>
      <rPr>
        <sz val="8"/>
        <rFont val="Verdana"/>
        <family val="2"/>
      </rPr>
      <t>2</t>
    </r>
    <r>
      <rPr>
        <sz val="10"/>
        <rFont val="Arial"/>
      </rPr>
      <t>O(BO</t>
    </r>
    <r>
      <rPr>
        <sz val="8"/>
        <rFont val="Verdana"/>
        <family val="2"/>
      </rPr>
      <t>3</t>
    </r>
    <r>
      <rPr>
        <sz val="10"/>
        <rFont val="Arial"/>
      </rPr>
      <t>)</t>
    </r>
  </si>
  <si>
    <r>
      <t>Ca</t>
    </r>
    <r>
      <rPr>
        <sz val="8"/>
        <rFont val="Verdana"/>
        <family val="2"/>
      </rPr>
      <t>6</t>
    </r>
    <r>
      <rPr>
        <sz val="10"/>
        <rFont val="Arial"/>
      </rPr>
      <t>Be</t>
    </r>
    <r>
      <rPr>
        <sz val="8"/>
        <rFont val="Verdana"/>
        <family val="2"/>
      </rPr>
      <t>9</t>
    </r>
    <r>
      <rPr>
        <sz val="10"/>
        <rFont val="Arial"/>
      </rPr>
      <t>Mn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2</t>
    </r>
    <r>
      <rPr>
        <sz val="10"/>
        <rFont val="Arial"/>
      </rPr>
      <t>BSi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23</t>
    </r>
    <r>
      <rPr>
        <sz val="10"/>
        <rFont val="Arial"/>
      </rPr>
      <t>(OH,Cl)</t>
    </r>
    <r>
      <rPr>
        <sz val="8"/>
        <rFont val="Verdana"/>
        <family val="2"/>
      </rPr>
      <t>15</t>
    </r>
  </si>
  <si>
    <r>
      <t>Mg</t>
    </r>
    <r>
      <rPr>
        <sz val="8"/>
        <rFont val="Verdana"/>
        <family val="2"/>
      </rPr>
      <t>2</t>
    </r>
    <r>
      <rPr>
        <sz val="10"/>
        <rFont val="Arial"/>
      </rPr>
      <t>Al</t>
    </r>
    <r>
      <rPr>
        <sz val="8"/>
        <rFont val="Verdana"/>
        <family val="2"/>
      </rPr>
      <t>14</t>
    </r>
    <r>
      <rPr>
        <sz val="10"/>
        <rFont val="Arial"/>
      </rPr>
      <t>Si</t>
    </r>
    <r>
      <rPr>
        <sz val="8"/>
        <rFont val="Verdana"/>
        <family val="2"/>
      </rPr>
      <t>4</t>
    </r>
    <r>
      <rPr>
        <sz val="10"/>
        <rFont val="Arial"/>
      </rPr>
      <t>B</t>
    </r>
    <r>
      <rPr>
        <sz val="8"/>
        <rFont val="Verdana"/>
        <family val="2"/>
      </rPr>
      <t>4</t>
    </r>
    <r>
      <rPr>
        <sz val="10"/>
        <rFont val="Arial"/>
      </rPr>
      <t>O</t>
    </r>
    <r>
      <rPr>
        <sz val="8"/>
        <rFont val="Verdana"/>
        <family val="2"/>
      </rPr>
      <t>37</t>
    </r>
  </si>
  <si>
    <r>
      <t>Mg</t>
    </r>
    <r>
      <rPr>
        <sz val="8"/>
        <rFont val="Verdana"/>
        <family val="2"/>
      </rPr>
      <t>5</t>
    </r>
    <r>
      <rPr>
        <sz val="10"/>
        <rFont val="Arial"/>
      </rPr>
      <t>O(BO</t>
    </r>
    <r>
      <rPr>
        <sz val="8"/>
        <rFont val="Verdana"/>
        <family val="2"/>
      </rPr>
      <t>3</t>
    </r>
    <r>
      <rPr>
        <sz val="10"/>
        <rFont val="Arial"/>
      </rPr>
      <t>)(OH)</t>
    </r>
    <r>
      <rPr>
        <sz val="8"/>
        <rFont val="Verdana"/>
        <family val="2"/>
      </rPr>
      <t>5</t>
    </r>
    <r>
      <rPr>
        <sz val="10"/>
        <rFont val="Arial"/>
      </rPr>
      <t>·2H</t>
    </r>
    <r>
      <rPr>
        <sz val="8"/>
        <rFont val="Verdana"/>
        <family val="2"/>
      </rPr>
      <t>2</t>
    </r>
    <r>
      <rPr>
        <sz val="10"/>
        <rFont val="Arial"/>
      </rPr>
      <t>O</t>
    </r>
  </si>
  <si>
    <r>
      <t>Ca</t>
    </r>
    <r>
      <rPr>
        <sz val="8"/>
        <rFont val="Verdana"/>
        <family val="2"/>
      </rPr>
      <t>19</t>
    </r>
    <r>
      <rPr>
        <sz val="10"/>
        <rFont val="Arial"/>
      </rPr>
      <t>(Al,Mg)</t>
    </r>
    <r>
      <rPr>
        <sz val="8"/>
        <rFont val="Verdana"/>
        <family val="2"/>
      </rPr>
      <t>13</t>
    </r>
    <r>
      <rPr>
        <sz val="10"/>
        <rFont val="Arial"/>
      </rPr>
      <t>(B,</t>
    </r>
    <r>
      <rPr>
        <sz val="5"/>
        <rFont val="Arial"/>
        <family val="2"/>
      </rPr>
      <t>   </t>
    </r>
    <r>
      <rPr>
        <sz val="10"/>
        <rFont val="Arial"/>
      </rPr>
      <t>,Al)</t>
    </r>
    <r>
      <rPr>
        <sz val="8"/>
        <rFont val="Verdana"/>
        <family val="2"/>
      </rPr>
      <t>5</t>
    </r>
    <r>
      <rPr>
        <sz val="10"/>
        <rFont val="Arial"/>
      </rPr>
      <t>(SiO</t>
    </r>
    <r>
      <rPr>
        <sz val="8"/>
        <rFont val="Verdana"/>
        <family val="2"/>
      </rPr>
      <t>4</t>
    </r>
    <r>
      <rPr>
        <sz val="10"/>
        <rFont val="Arial"/>
      </rPr>
      <t>)</t>
    </r>
    <r>
      <rPr>
        <sz val="8"/>
        <rFont val="Verdana"/>
        <family val="2"/>
      </rPr>
      <t>10</t>
    </r>
    <r>
      <rPr>
        <sz val="10"/>
        <rFont val="Arial"/>
      </rPr>
      <t>(Si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7</t>
    </r>
    <r>
      <rPr>
        <sz val="10"/>
        <rFont val="Arial"/>
      </rPr>
      <t>)</t>
    </r>
    <r>
      <rPr>
        <sz val="8"/>
        <rFont val="Verdana"/>
        <family val="2"/>
      </rPr>
      <t>4</t>
    </r>
    <r>
      <rPr>
        <sz val="10"/>
        <rFont val="Arial"/>
      </rPr>
      <t>(O,OH)</t>
    </r>
    <r>
      <rPr>
        <sz val="8"/>
        <rFont val="Verdana"/>
        <family val="2"/>
      </rPr>
      <t>10</t>
    </r>
  </si>
  <si>
    <r>
      <t>Mn</t>
    </r>
    <r>
      <rPr>
        <vertAlign val="superscript"/>
        <sz val="8"/>
        <rFont val="Verdana"/>
        <family val="2"/>
      </rPr>
      <t>2+</t>
    </r>
    <r>
      <rPr>
        <sz val="8"/>
        <rFont val="Verdana"/>
        <family val="2"/>
      </rPr>
      <t>14</t>
    </r>
    <r>
      <rPr>
        <sz val="10"/>
        <rFont val="Arial"/>
      </rPr>
      <t>(B</t>
    </r>
    <r>
      <rPr>
        <sz val="8"/>
        <rFont val="Verdana"/>
        <family val="2"/>
      </rPr>
      <t>2</t>
    </r>
    <r>
      <rPr>
        <sz val="10"/>
        <rFont val="Arial"/>
      </rPr>
      <t>O</t>
    </r>
    <r>
      <rPr>
        <sz val="8"/>
        <rFont val="Verdana"/>
        <family val="2"/>
      </rPr>
      <t>5</t>
    </r>
    <r>
      <rPr>
        <sz val="10"/>
        <rFont val="Arial"/>
      </rPr>
      <t>)</t>
    </r>
    <r>
      <rPr>
        <sz val="8"/>
        <rFont val="Verdana"/>
        <family val="2"/>
      </rPr>
      <t>4</t>
    </r>
    <r>
      <rPr>
        <sz val="10"/>
        <rFont val="Arial"/>
      </rPr>
      <t>(OH)</t>
    </r>
    <r>
      <rPr>
        <sz val="8"/>
        <rFont val="Verdana"/>
        <family val="2"/>
      </rPr>
      <t>8</t>
    </r>
    <r>
      <rPr>
        <sz val="10"/>
        <rFont val="Arial"/>
      </rPr>
      <t>·(Si,Mg)(O,OH)</t>
    </r>
    <r>
      <rPr>
        <sz val="8"/>
        <rFont val="Verdana"/>
        <family val="2"/>
      </rPr>
      <t>4</t>
    </r>
    <r>
      <rPr>
        <sz val="10"/>
        <rFont val="Arial"/>
      </rPr>
      <t>Cl</t>
    </r>
  </si>
  <si>
    <r>
      <t>Mg(Fe</t>
    </r>
    <r>
      <rPr>
        <vertAlign val="superscript"/>
        <sz val="8"/>
        <rFont val="Verdana"/>
        <family val="2"/>
      </rPr>
      <t>3+</t>
    </r>
    <r>
      <rPr>
        <sz val="10"/>
        <rFont val="Arial"/>
      </rPr>
      <t>,Al)O(BO</t>
    </r>
    <r>
      <rPr>
        <sz val="8"/>
        <rFont val="Verdana"/>
        <family val="2"/>
      </rPr>
      <t>3</t>
    </r>
    <r>
      <rPr>
        <sz val="10"/>
        <rFont val="Arial"/>
      </rPr>
      <t>)</t>
    </r>
  </si>
  <si>
    <t>B-268</t>
  </si>
  <si>
    <t>B-269</t>
  </si>
  <si>
    <r>
      <t>KFe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3</t>
    </r>
    <r>
      <rPr>
        <sz val="10"/>
        <rFont val="Arial"/>
      </rPr>
      <t>(Fe</t>
    </r>
    <r>
      <rPr>
        <vertAlign val="superscript"/>
        <sz val="8"/>
        <rFont val="Verdana"/>
        <family val="2"/>
      </rPr>
      <t>3+</t>
    </r>
    <r>
      <rPr>
        <sz val="8"/>
        <rFont val="Verdana"/>
        <family val="2"/>
      </rPr>
      <t>4</t>
    </r>
    <r>
      <rPr>
        <sz val="10"/>
        <rFont val="Arial"/>
      </rPr>
      <t>Mg</t>
    </r>
    <r>
      <rPr>
        <sz val="8"/>
        <rFont val="Verdana"/>
        <family val="2"/>
      </rPr>
      <t>2</t>
    </r>
    <r>
      <rPr>
        <sz val="10"/>
        <rFont val="Arial"/>
      </rPr>
      <t>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</si>
  <si>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t>B-270</t>
  </si>
  <si>
    <r>
      <t>K(Al</t>
    </r>
    <r>
      <rPr>
        <sz val="8"/>
        <rFont val="Verdana"/>
        <family val="2"/>
      </rPr>
      <t>2</t>
    </r>
    <r>
      <rPr>
        <sz val="10"/>
        <rFont val="Arial"/>
      </rPr>
      <t>Mg)(Al</t>
    </r>
    <r>
      <rPr>
        <sz val="8"/>
        <rFont val="Verdana"/>
        <family val="2"/>
      </rPr>
      <t>5</t>
    </r>
    <r>
      <rPr>
        <sz val="10"/>
        <rFont val="Arial"/>
      </rPr>
      <t>Mg)(Si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</si>
  <si>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r>
      <t>CaMg</t>
    </r>
    <r>
      <rPr>
        <sz val="8"/>
        <rFont val="Verdana"/>
        <family val="2"/>
      </rPr>
      <t>3</t>
    </r>
    <r>
      <rPr>
        <sz val="10"/>
        <rFont val="Arial"/>
      </rPr>
      <t>(Al</t>
    </r>
    <r>
      <rPr>
        <sz val="8"/>
        <rFont val="Verdana"/>
        <family val="2"/>
      </rPr>
      <t>5</t>
    </r>
    <r>
      <rPr>
        <sz val="10"/>
        <rFont val="Arial"/>
      </rPr>
      <t>Mg)(Si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F</t>
    </r>
  </si>
  <si>
    <t>B-271</t>
  </si>
  <si>
    <t>Ca(Li2Al)Al6(Si6O18)(BO3)3(OH)3(OH)</t>
  </si>
  <si>
    <t>B-272</t>
  </si>
  <si>
    <t>"Plumbo-fluor-liddicoatite"</t>
  </si>
  <si>
    <t>Pb(Li2Al)Al6(Si6O18)(BO3)3(OH)3F</t>
  </si>
  <si>
    <t>B-273</t>
  </si>
  <si>
    <t>"Oxy-foitite"</t>
  </si>
  <si>
    <r>
      <rPr>
        <sz val="10"/>
        <rFont val="Calibri"/>
        <family val="2"/>
      </rPr>
      <t>□</t>
    </r>
    <r>
      <rPr>
        <sz val="10"/>
        <rFont val="Arial"/>
      </rPr>
      <t> (Fe2+Al2)Al6(Si6O18)(BO3)3(OH)3O</t>
    </r>
  </si>
  <si>
    <t>B-274</t>
  </si>
  <si>
    <t>"Oxy-rossmanite"</t>
  </si>
  <si>
    <t>B-275</t>
  </si>
  <si>
    <r>
      <rPr>
        <sz val="10"/>
        <rFont val="Cambria"/>
        <family val="1"/>
      </rPr>
      <t>□ </t>
    </r>
    <r>
      <rPr>
        <sz val="10"/>
        <rFont val="Arial"/>
      </rPr>
      <t>(Li0.5Al</t>
    </r>
    <r>
      <rPr>
        <sz val="8"/>
        <rFont val="Verdana"/>
        <family val="2"/>
      </rPr>
      <t>2.5</t>
    </r>
    <r>
      <rPr>
        <sz val="10"/>
        <rFont val="Arial"/>
      </rPr>
      <t>)Al</t>
    </r>
    <r>
      <rPr>
        <sz val="8"/>
        <rFont val="Verdana"/>
        <family val="2"/>
      </rPr>
      <t>6</t>
    </r>
    <r>
      <rPr>
        <sz val="10"/>
        <rFont val="Arial"/>
      </rPr>
      <t>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(OH)</t>
    </r>
    <r>
      <rPr>
        <sz val="8"/>
        <rFont val="Verdana"/>
        <family val="2"/>
      </rPr>
      <t>3</t>
    </r>
    <r>
      <rPr>
        <sz val="10"/>
        <rFont val="Arial"/>
      </rPr>
      <t>O</t>
    </r>
  </si>
  <si>
    <t>(Na,Mg)2(UO2)2BO3(OH)3-4•nH2O;</t>
  </si>
  <si>
    <t>UM1976-05 (Walenta uranium mineral B)</t>
  </si>
  <si>
    <t>UM1976-06 (Walenta uranium mineral A)</t>
  </si>
  <si>
    <t>UM1976-07 (Walenta uranium mineral C)</t>
  </si>
  <si>
    <t>B-276</t>
  </si>
  <si>
    <t>UM1990-64 (Mont-Saint-Hilaire UK 53)</t>
  </si>
  <si>
    <t>Walenta (1976)</t>
  </si>
  <si>
    <t>B-277</t>
  </si>
  <si>
    <t>B-278</t>
  </si>
  <si>
    <t>Th6B8Si7O38</t>
  </si>
  <si>
    <t>B-279</t>
  </si>
  <si>
    <t>B-280</t>
  </si>
  <si>
    <t>Nefedov (1967)</t>
  </si>
  <si>
    <t>Silicate</t>
  </si>
  <si>
    <t>Borate</t>
  </si>
  <si>
    <t>Halide</t>
  </si>
  <si>
    <t>Sulfate</t>
  </si>
  <si>
    <t>Carbonate</t>
  </si>
  <si>
    <t>Nitride</t>
  </si>
  <si>
    <t>Feldspar group</t>
  </si>
  <si>
    <t>Thomas et al. (2008)</t>
  </si>
  <si>
    <t>Raup et al. (1968)</t>
  </si>
  <si>
    <t>Pertsev et al. (2004)</t>
  </si>
  <si>
    <t>Se et al. (1964)</t>
  </si>
  <si>
    <t>Erd et al. (1959)</t>
  </si>
  <si>
    <t>Reznitskii et al. (2014)</t>
  </si>
  <si>
    <t>B-281</t>
  </si>
  <si>
    <t>B-282</t>
  </si>
  <si>
    <t>B-283</t>
  </si>
  <si>
    <t>B-284</t>
  </si>
  <si>
    <t>Maras et al. (1995)</t>
  </si>
  <si>
    <r>
      <t>(Ba,Pb,K)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(Ca,Y)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(B,Be)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(Si,B)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Si</t>
    </r>
    <r>
      <rPr>
        <vertAlign val="subscript"/>
        <sz val="10"/>
        <rFont val="Arial"/>
        <family val="2"/>
      </rPr>
      <t>8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28</t>
    </r>
    <r>
      <rPr>
        <sz val="10"/>
        <rFont val="Arial"/>
      </rPr>
      <t>F</t>
    </r>
  </si>
  <si>
    <t>B-285</t>
  </si>
  <si>
    <t>Grice and Robinson (1989)</t>
  </si>
  <si>
    <t>Maruyamaite</t>
  </si>
  <si>
    <t>Chubarovite</t>
  </si>
  <si>
    <r>
      <t>KZn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(BO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)Cl</t>
    </r>
    <r>
      <rPr>
        <vertAlign val="subscript"/>
        <sz val="10"/>
        <rFont val="Arial"/>
        <family val="2"/>
      </rPr>
      <t>2</t>
    </r>
  </si>
  <si>
    <t>Rudnev et al. (2007)</t>
  </si>
  <si>
    <t>Kampf et al. (2014)</t>
  </si>
  <si>
    <t>Lobanova (1962)</t>
  </si>
  <si>
    <t>khvorovite</t>
  </si>
  <si>
    <r>
      <t>Pb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Ca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B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(SiB)</t>
    </r>
    <r>
      <rPr>
        <sz val="10"/>
        <rFont val="Arial"/>
      </rPr>
      <t>Si</t>
    </r>
    <r>
      <rPr>
        <vertAlign val="subscript"/>
        <sz val="10"/>
        <rFont val="Arial"/>
        <family val="2"/>
      </rPr>
      <t>8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28</t>
    </r>
    <r>
      <rPr>
        <sz val="10"/>
        <rFont val="Arial"/>
      </rPr>
      <t>F</t>
    </r>
  </si>
  <si>
    <t>Pautov et al. (2015)</t>
  </si>
  <si>
    <t>Pieczka et al. (2013)</t>
  </si>
  <si>
    <t>Malinko et al. (2004)</t>
  </si>
  <si>
    <t>Hawthorne et al. (1999)</t>
  </si>
  <si>
    <t>Franz et al. (1981)</t>
  </si>
  <si>
    <t>Schaller (1927)</t>
  </si>
  <si>
    <t>Chopin et al. (1995)</t>
  </si>
  <si>
    <t>Agakhanov et al. (2013)</t>
  </si>
  <si>
    <t>Schaller et al. (1965)</t>
  </si>
  <si>
    <t>—</t>
  </si>
  <si>
    <t>Matsubara et al. (1998)</t>
  </si>
  <si>
    <r>
      <t>tak</t>
    </r>
    <r>
      <rPr>
        <b/>
        <sz val="10"/>
        <color rgb="FF333333"/>
        <rFont val="Calibri"/>
        <family val="2"/>
      </rPr>
      <t>é</t>
    </r>
    <r>
      <rPr>
        <b/>
        <sz val="10"/>
        <color rgb="FF333333"/>
        <rFont val="Arial"/>
        <family val="2"/>
      </rPr>
      <t>uchiite</t>
    </r>
  </si>
  <si>
    <t>Murdoch (1962)</t>
  </si>
  <si>
    <t>Schreyer et al. (2003)</t>
  </si>
  <si>
    <t>priceite ("pandermite")</t>
  </si>
  <si>
    <t>Bosi and Skogby (2013)</t>
  </si>
  <si>
    <t>Gale et al. (1939)</t>
  </si>
  <si>
    <t>Meixner (1953)</t>
  </si>
  <si>
    <t>Pekov et al. (2015)</t>
  </si>
  <si>
    <t>Bermanec et al. (1994)</t>
  </si>
  <si>
    <t>Erd et al. (1970)</t>
  </si>
  <si>
    <t>Hiroi et al. (2001)</t>
  </si>
  <si>
    <t>unnamed ammonium borate</t>
  </si>
  <si>
    <t xml:space="preserve">(NH4)2[B10O14(OH)4]·H2O </t>
  </si>
  <si>
    <t>borate</t>
  </si>
  <si>
    <t>UM1995-43 thorium borosilicate</t>
  </si>
  <si>
    <t>Groat et al. (1998)</t>
  </si>
  <si>
    <t>Mineral</t>
  </si>
  <si>
    <t>Formula</t>
  </si>
  <si>
    <t>NaBSi3O8</t>
  </si>
  <si>
    <r>
      <t>Mn</t>
    </r>
    <r>
      <rPr>
        <vertAlign val="superscript"/>
        <sz val="8"/>
        <rFont val="Verdana"/>
        <family val="2"/>
      </rPr>
      <t>2+</t>
    </r>
    <r>
      <rPr>
        <sz val="10"/>
        <rFont val="Arial"/>
      </rPr>
      <t>BO</t>
    </r>
    <r>
      <rPr>
        <sz val="8"/>
        <rFont val="Verdana"/>
        <family val="2"/>
      </rPr>
      <t>2</t>
    </r>
    <r>
      <rPr>
        <sz val="10"/>
        <rFont val="Arial"/>
      </rPr>
      <t>(OH)</t>
    </r>
  </si>
  <si>
    <r>
      <t>MgBO</t>
    </r>
    <r>
      <rPr>
        <sz val="8"/>
        <rFont val="Verdana"/>
        <family val="2"/>
      </rPr>
      <t>2</t>
    </r>
    <r>
      <rPr>
        <sz val="10"/>
        <rFont val="Arial"/>
      </rPr>
      <t>(OH)</t>
    </r>
  </si>
  <si>
    <t>NaMn2[Si3BO9](OH)2·2H2O</t>
  </si>
  <si>
    <t>related to steedite</t>
  </si>
  <si>
    <t>bosiite</t>
  </si>
  <si>
    <t>NaFe3+3 (Al4Mg2)(Si6O18)(BO3)3(OH)3O</t>
  </si>
  <si>
    <t>UM1990-02 Borate</t>
  </si>
  <si>
    <t>B-286</t>
  </si>
  <si>
    <t>Class</t>
  </si>
  <si>
    <t>Number</t>
  </si>
  <si>
    <r>
      <t>szaib</t>
    </r>
    <r>
      <rPr>
        <b/>
        <sz val="10"/>
        <color rgb="FF333333"/>
        <rFont val="Calibri"/>
        <family val="2"/>
      </rPr>
      <t>é</t>
    </r>
    <r>
      <rPr>
        <b/>
        <sz val="10"/>
        <color rgb="FF333333"/>
        <rFont val="Arial"/>
        <family val="2"/>
      </rPr>
      <t>lyite</t>
    </r>
  </si>
  <si>
    <r>
      <t>series with szaib</t>
    </r>
    <r>
      <rPr>
        <sz val="10"/>
        <color rgb="FF333333"/>
        <rFont val="Calibri"/>
        <family val="2"/>
      </rPr>
      <t>é</t>
    </r>
    <r>
      <rPr>
        <sz val="10"/>
        <color rgb="FF333333"/>
        <rFont val="Arial"/>
        <family val="2"/>
      </rPr>
      <t>lyite</t>
    </r>
  </si>
  <si>
    <t>series with khvorovite</t>
  </si>
  <si>
    <t>series with hyalotekite</t>
  </si>
  <si>
    <t>Hurlbut and Taylor (1937)</t>
  </si>
  <si>
    <t>Demartin et al. (2011)</t>
  </si>
  <si>
    <t>Ericksen et al. (1986)</t>
  </si>
  <si>
    <t>Demartin et al. (2001)</t>
  </si>
  <si>
    <t>perettiite-(Y)</t>
  </si>
  <si>
    <r>
      <t>Y</t>
    </r>
    <r>
      <rPr>
        <vertAlign val="superscript"/>
        <sz val="10"/>
        <rFont val="Arial"/>
        <family val="2"/>
      </rPr>
      <t>3+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Mn</t>
    </r>
    <r>
      <rPr>
        <vertAlign val="superscript"/>
        <sz val="10"/>
        <rFont val="Arial"/>
        <family val="2"/>
      </rPr>
      <t>2+</t>
    </r>
    <r>
      <rPr>
        <vertAlign val="subscript"/>
        <sz val="10"/>
        <rFont val="Arial"/>
        <family val="2"/>
      </rPr>
      <t>4</t>
    </r>
    <r>
      <rPr>
        <sz val="10"/>
        <rFont val="Arial"/>
      </rPr>
      <t>Fe</t>
    </r>
    <r>
      <rPr>
        <vertAlign val="superscript"/>
        <sz val="10"/>
        <rFont val="Arial"/>
        <family val="2"/>
      </rPr>
      <t>2+</t>
    </r>
    <r>
      <rPr>
        <sz val="10"/>
        <rFont val="Arial"/>
      </rPr>
      <t>[Si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B</t>
    </r>
    <r>
      <rPr>
        <vertAlign val="subscript"/>
        <sz val="10"/>
        <rFont val="Arial"/>
        <family val="2"/>
      </rPr>
      <t>8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24</t>
    </r>
    <r>
      <rPr>
        <sz val="10"/>
        <rFont val="Arial"/>
      </rPr>
      <t>]</t>
    </r>
  </si>
  <si>
    <t>silicate</t>
  </si>
  <si>
    <t>B-287</t>
  </si>
  <si>
    <t>"fluor-olenite"</t>
  </si>
  <si>
    <r>
      <t>NaAl</t>
    </r>
    <r>
      <rPr>
        <sz val="8"/>
        <rFont val="Verdana"/>
        <family val="2"/>
      </rPr>
      <t>3</t>
    </r>
    <r>
      <rPr>
        <sz val="10"/>
        <rFont val="Arial"/>
      </rPr>
      <t>Al</t>
    </r>
    <r>
      <rPr>
        <sz val="8"/>
        <rFont val="Verdana"/>
        <family val="2"/>
      </rPr>
      <t>6</t>
    </r>
    <r>
      <rPr>
        <sz val="10"/>
        <rFont val="Arial"/>
      </rPr>
      <t>(Si</t>
    </r>
    <r>
      <rPr>
        <sz val="8"/>
        <rFont val="Verdana"/>
        <family val="2"/>
      </rPr>
      <t>6</t>
    </r>
    <r>
      <rPr>
        <sz val="10"/>
        <rFont val="Arial"/>
      </rPr>
      <t>O</t>
    </r>
    <r>
      <rPr>
        <sz val="8"/>
        <rFont val="Verdana"/>
        <family val="2"/>
      </rPr>
      <t>18</t>
    </r>
    <r>
      <rPr>
        <sz val="10"/>
        <rFont val="Arial"/>
      </rPr>
      <t>)(BO</t>
    </r>
    <r>
      <rPr>
        <sz val="8"/>
        <rFont val="Verdana"/>
        <family val="2"/>
      </rPr>
      <t>3</t>
    </r>
    <r>
      <rPr>
        <sz val="10"/>
        <rFont val="Arial"/>
      </rPr>
      <t>)</t>
    </r>
    <r>
      <rPr>
        <sz val="8"/>
        <rFont val="Verdana"/>
        <family val="2"/>
      </rPr>
      <t>3</t>
    </r>
    <r>
      <rPr>
        <sz val="10"/>
        <rFont val="Arial"/>
      </rPr>
      <t>(O</t>
    </r>
    <r>
      <rPr>
        <sz val="8"/>
        <rFont val="Verdana"/>
        <family val="2"/>
      </rPr>
      <t>3</t>
    </r>
    <r>
      <rPr>
        <sz val="10"/>
        <rFont val="Arial"/>
      </rPr>
      <t>)F</t>
    </r>
  </si>
  <si>
    <t>B-289</t>
  </si>
  <si>
    <t>berborite</t>
  </si>
  <si>
    <t>CaFe2+3Al6(Si6O18)(BO3)3(OH)3O</t>
  </si>
  <si>
    <t>lucchesiite</t>
  </si>
  <si>
    <t>Borate of Na, Mg and U, possibly sullfate present</t>
  </si>
  <si>
    <t>Possibly hydrated borate-carbonate of Na, or of Na, Mg and Ca</t>
  </si>
  <si>
    <t>B-290</t>
  </si>
  <si>
    <t>B-291</t>
  </si>
  <si>
    <t>odigitriaite</t>
  </si>
  <si>
    <t>CsNa5Ca5[Si14B2O38]F2</t>
  </si>
  <si>
    <t>Bosi et al. (2015)</t>
  </si>
  <si>
    <t>Al8B2Si2O19</t>
  </si>
  <si>
    <r>
      <t>vr</t>
    </r>
    <r>
      <rPr>
        <b/>
        <sz val="10"/>
        <color rgb="FF333333"/>
        <rFont val="Calibri"/>
        <family val="2"/>
      </rPr>
      <t>á</t>
    </r>
    <r>
      <rPr>
        <b/>
        <sz val="10"/>
        <color rgb="FF333333"/>
        <rFont val="Arial"/>
        <family val="2"/>
      </rPr>
      <t>naite</t>
    </r>
  </si>
  <si>
    <t>tatarinovite</t>
  </si>
  <si>
    <t>Ca3Al(SO4)B(OH)4(OH)6·12H2O</t>
  </si>
  <si>
    <t>B-292</t>
  </si>
  <si>
    <t>boromuscovite</t>
  </si>
  <si>
    <t>2 cm x 5 mm x 5 mm</t>
  </si>
  <si>
    <t>Nishio-Hamane et al (2014)</t>
  </si>
  <si>
    <t>7 x 4 x 3.5 mm</t>
  </si>
  <si>
    <t>5 mm x 30 μm x 30 μm</t>
  </si>
  <si>
    <t>90  x 50  x 50 μm</t>
  </si>
  <si>
    <t>5 x 2.5 x 1.25 mm</t>
  </si>
  <si>
    <t xml:space="preserve">Aristarain and Hurlbut (1967) </t>
  </si>
  <si>
    <t>0.08 x 0.04 x 0.04 mm</t>
  </si>
  <si>
    <t>0.4 x 0.4 x 0.1 mm</t>
  </si>
  <si>
    <t>Hurlbut and Erd (1974)</t>
  </si>
  <si>
    <t>0.5 x 0.5 x 0.5 mm</t>
  </si>
  <si>
    <t>3 x 3 x 3 cm</t>
  </si>
  <si>
    <t>Haüy  (1801)</t>
  </si>
  <si>
    <t xml:space="preserve">Fromme (1909) </t>
  </si>
  <si>
    <t>20 x 5 x 5 mm</t>
  </si>
  <si>
    <t>Konev et sl. (1970)</t>
  </si>
  <si>
    <t>1 μm x 1 μm x 1 μm</t>
  </si>
  <si>
    <t>Garavelli and Vurro (1994)</t>
  </si>
  <si>
    <t>7 x 7 x 7 mm</t>
  </si>
  <si>
    <t>Mrose and Rose (1961)</t>
  </si>
  <si>
    <t>5 x 1 x 1 mm</t>
  </si>
  <si>
    <t>2 x 0.5 x 0.5 mm</t>
  </si>
  <si>
    <t>2 x 0.3 x 0.3 mm</t>
  </si>
  <si>
    <t>3 x 3 x 3 mm</t>
  </si>
  <si>
    <t>0.15 x 0.15 x 0.01 mm</t>
  </si>
  <si>
    <t>0.4 x 0.05 x 0.05 mm</t>
  </si>
  <si>
    <t>5 μm x 5 μm x 1.5 μm</t>
  </si>
  <si>
    <t>Foord et al. (1991)</t>
  </si>
  <si>
    <t>70 μm x 70 μm x 9 μm</t>
  </si>
  <si>
    <t>0.5 x 0.25 x 0.1 mm</t>
  </si>
  <si>
    <t>Grice et al. (1997)</t>
  </si>
  <si>
    <t>0.5 x 0.5 x 0.2 mm</t>
  </si>
  <si>
    <t>10 μm x 10 μm x 10 μm</t>
  </si>
  <si>
    <t>1.8 x 1.8 x 0.5 mm</t>
  </si>
  <si>
    <t>15 x 10 x 10 mm</t>
  </si>
  <si>
    <t>1 x 1 x 1 mm</t>
  </si>
  <si>
    <t>1 mm x 30 μm x 5 μm</t>
  </si>
  <si>
    <t>20 x 15 x 15 mm</t>
  </si>
  <si>
    <t>0.1 x 0.1 x 0.1 mm</t>
  </si>
  <si>
    <t>2 x 0.5 x 0.3 mm</t>
  </si>
  <si>
    <t>1.2 x 1.2 x 1.2 cm</t>
  </si>
  <si>
    <t>Honea and Beck (1962)</t>
  </si>
  <si>
    <t>15 x 2 x 2 mm</t>
  </si>
  <si>
    <t>2 x 0.33 x 0.06 mm</t>
  </si>
  <si>
    <t>Erd and Foord (1988)</t>
  </si>
  <si>
    <t>Rumnyatseva (1983)</t>
  </si>
  <si>
    <t>0.3 x 0.3 x 0.3 mm</t>
  </si>
  <si>
    <t>1.5 x 1.5 x 0.5 mm</t>
  </si>
  <si>
    <t>2 x 2 x 2 mm</t>
  </si>
  <si>
    <t>Malinko and Pertsev (1983)</t>
  </si>
  <si>
    <t>0.2 x 0.2 x 0.2 mm</t>
  </si>
  <si>
    <t>Wendling et a. (1972)</t>
  </si>
  <si>
    <t>3 x 2 x 2 cm</t>
  </si>
  <si>
    <t>Novak et al. (2013)</t>
  </si>
  <si>
    <t>4 x 2 x 2 cm</t>
  </si>
  <si>
    <t>7 x 1.5 x 1.5 cm</t>
  </si>
  <si>
    <t>2.5 x 2.5 x 2.5 cm</t>
  </si>
  <si>
    <t>0.07 x 0.07 x 0.07</t>
  </si>
  <si>
    <t>Carobbi (1933)</t>
  </si>
  <si>
    <t>10 x 5 x 5 mm</t>
  </si>
  <si>
    <t>Clark et al. (2011)</t>
  </si>
  <si>
    <t>1.3 × 1.2 × 2.3 cm</t>
  </si>
  <si>
    <t>―</t>
  </si>
  <si>
    <t>25 x 10 x 10 cm</t>
  </si>
  <si>
    <t>Dunn et al. (1977)</t>
  </si>
  <si>
    <t>Ertl et al. (2016)</t>
  </si>
  <si>
    <t>20 x 4 x 4 mm</t>
  </si>
  <si>
    <t>Cooper et al. (2015)</t>
  </si>
  <si>
    <t>2 x 0.1 x 0.1 mm</t>
  </si>
  <si>
    <t>5 cm x 3 mm x 3 mm</t>
  </si>
  <si>
    <t>Jouravsky and Permingeat (1964)</t>
  </si>
  <si>
    <t>1.5 x 0.06 x 0.02 mm</t>
  </si>
  <si>
    <t>8 x 1 x 1 cm</t>
  </si>
  <si>
    <t>0.25 x 0.25 x 0.25 mm</t>
  </si>
  <si>
    <t>35 x 15 x 15 mm</t>
  </si>
  <si>
    <t>0.4 x 0.4 x 0.4 mm</t>
  </si>
  <si>
    <t>Oberti et al. (1999)</t>
  </si>
  <si>
    <t>15 x 15 x 10 mm</t>
  </si>
  <si>
    <t>Pryce (1971)</t>
  </si>
  <si>
    <t>5 x 3 x 3 cm</t>
  </si>
  <si>
    <t>3 x 3 x 1 cm</t>
  </si>
  <si>
    <t>Knopf and Schaller (1908)</t>
  </si>
  <si>
    <t>7 x 7 x 2 mm</t>
  </si>
  <si>
    <t>0.04 x 0.04 x 0.04 mm</t>
  </si>
  <si>
    <t>2 x 2 x 2 cm</t>
  </si>
  <si>
    <t>1.5 x 0.2 x 0.2 mm</t>
  </si>
  <si>
    <t>1 x 0.3 x 0.3 mm</t>
  </si>
  <si>
    <t>Gorshkov (1941)</t>
  </si>
  <si>
    <t>Godlevsky (1937)</t>
  </si>
  <si>
    <t>100 μm x 100 μm x 5 μm</t>
  </si>
  <si>
    <t>1 x 1 x 0.5 mm</t>
  </si>
  <si>
    <t>0.5 x 0.02 x 0.02 mm</t>
  </si>
  <si>
    <t>10 μm x 10 μm x 5 μm</t>
  </si>
  <si>
    <t>5 x 5 x 5 mm</t>
  </si>
  <si>
    <t>10 x 10 x 1 mm</t>
  </si>
  <si>
    <r>
      <t xml:space="preserve">6 mm x 20 </t>
    </r>
    <r>
      <rPr>
        <sz val="11"/>
        <color theme="1"/>
        <rFont val="Calibri"/>
        <family val="2"/>
      </rPr>
      <t>μm x 20 μm</t>
    </r>
  </si>
  <si>
    <t>Pekov et al. (2012)</t>
  </si>
  <si>
    <t>2 x 2.5 x 6 inches</t>
  </si>
  <si>
    <r>
      <t xml:space="preserve">100 x 100 x 100 </t>
    </r>
    <r>
      <rPr>
        <sz val="11"/>
        <color theme="1"/>
        <rFont val="Calibri"/>
        <family val="2"/>
      </rPr>
      <t>μm</t>
    </r>
  </si>
  <si>
    <r>
      <t xml:space="preserve">80 x 80 x 80 </t>
    </r>
    <r>
      <rPr>
        <sz val="11"/>
        <color theme="1"/>
        <rFont val="Calibri"/>
        <family val="2"/>
      </rPr>
      <t>μm</t>
    </r>
  </si>
  <si>
    <t>Agakhanov et al. (2012)</t>
  </si>
  <si>
    <t>10 x 1 x 1 mm</t>
  </si>
  <si>
    <t>0.15 x 0.15 x 0.15 mm</t>
  </si>
  <si>
    <t>Watanabe (1939)</t>
  </si>
  <si>
    <t>4 x 3 x 3 mm</t>
  </si>
  <si>
    <t>Malinko et al. (1966)</t>
  </si>
  <si>
    <t xml:space="preserve">Godlevsky (1940) </t>
  </si>
  <si>
    <t>1 x 1 x 1 cm</t>
  </si>
  <si>
    <t>Simmons et al. (2001)</t>
  </si>
  <si>
    <t>4 x 0.4 x 0.4 mm</t>
  </si>
  <si>
    <t>1 mm x 15 μm x 15 μm</t>
  </si>
  <si>
    <t>0.4 x 0.08 x 0.08 mm</t>
  </si>
  <si>
    <t>Yang et al. (1985)</t>
  </si>
  <si>
    <r>
      <t xml:space="preserve">1 mm x 1 mm x 10 </t>
    </r>
    <r>
      <rPr>
        <sz val="11"/>
        <color theme="1"/>
        <rFont val="Calibri"/>
        <family val="2"/>
      </rPr>
      <t>μm</t>
    </r>
  </si>
  <si>
    <t>McDonald and Chao (2007)</t>
  </si>
  <si>
    <t>Welch et al. (1998)</t>
  </si>
  <si>
    <t>1 x 1 x 0.05 mm</t>
  </si>
  <si>
    <t>15 x 0.3 x 0.3 mm</t>
  </si>
  <si>
    <r>
      <t xml:space="preserve">20 x 20 x 20 </t>
    </r>
    <r>
      <rPr>
        <sz val="11"/>
        <color theme="1"/>
        <rFont val="Calibri"/>
        <family val="2"/>
      </rPr>
      <t>μm</t>
    </r>
  </si>
  <si>
    <t>12 x 12 x 12 mm</t>
  </si>
  <si>
    <t>4 x 4 x 4 mm</t>
  </si>
  <si>
    <r>
      <t xml:space="preserve">30 x 30 x 30 </t>
    </r>
    <r>
      <rPr>
        <sz val="11"/>
        <color theme="1"/>
        <rFont val="Calibri"/>
        <family val="2"/>
      </rPr>
      <t>μm</t>
    </r>
  </si>
  <si>
    <t>0.03 x 0.03 x 0.03 mm</t>
  </si>
  <si>
    <t>Bogomolov et al. (1969)</t>
  </si>
  <si>
    <t>4 x 1 x 1 mm</t>
  </si>
  <si>
    <t>7 x 7 x 15 mm</t>
  </si>
  <si>
    <t>Claringbull et al. (1957)</t>
  </si>
  <si>
    <r>
      <t xml:space="preserve">40 x 20 x 3 </t>
    </r>
    <r>
      <rPr>
        <sz val="11"/>
        <color theme="1"/>
        <rFont val="Calibri"/>
        <family val="2"/>
      </rPr>
      <t>μm</t>
    </r>
  </si>
  <si>
    <t>1.5 x 1.5 x 1.5 mm</t>
  </si>
  <si>
    <t>Grice et al. (1996)</t>
  </si>
  <si>
    <t>0.5 x 0.5 x 0.02 mm</t>
  </si>
  <si>
    <t>3 x 0.2 x 0.2 mm</t>
  </si>
  <si>
    <t>Galuskina et al. (2008, 2010)</t>
  </si>
  <si>
    <t>Yarzhemskiy (1956)</t>
  </si>
  <si>
    <t>Roberts et al. (1993)</t>
  </si>
  <si>
    <t>Proshchenko et al. (1966); Raade et al. (2008)</t>
  </si>
  <si>
    <r>
      <t xml:space="preserve">1 x 1 x 1 </t>
    </r>
    <r>
      <rPr>
        <sz val="11"/>
        <color theme="1"/>
        <rFont val="Calibri"/>
        <family val="2"/>
      </rPr>
      <t>μm</t>
    </r>
  </si>
  <si>
    <t>Dobrzhinetskaya et al. (2014)</t>
  </si>
  <si>
    <r>
      <t xml:space="preserve">20 x 20 x 11 </t>
    </r>
    <r>
      <rPr>
        <sz val="11"/>
        <color theme="1"/>
        <rFont val="Calibri"/>
        <family val="2"/>
      </rPr>
      <t>μm</t>
    </r>
  </si>
  <si>
    <r>
      <t xml:space="preserve">8 x 8 x 8 </t>
    </r>
    <r>
      <rPr>
        <sz val="11"/>
        <color theme="1"/>
        <rFont val="Calibri"/>
        <family val="2"/>
      </rPr>
      <t>μm</t>
    </r>
  </si>
  <si>
    <t>3 x 0.5 x 0.25 mm</t>
  </si>
  <si>
    <t>0.25 x 0.1 x 0.1 mm</t>
  </si>
  <si>
    <t>McDonald and Chao (2010)</t>
  </si>
  <si>
    <t>25 x 5 x 5 mm</t>
  </si>
  <si>
    <t>Selway et al. (1998)</t>
  </si>
  <si>
    <t>7 x 4 x 4 mm</t>
  </si>
  <si>
    <t>Ostrovskaya et al. (1966)</t>
  </si>
  <si>
    <t>0.06 x 0.06 x 0.06 mm</t>
  </si>
  <si>
    <t>Merlino and Sartori (1970)</t>
  </si>
  <si>
    <t>0.02 x 0.02 x 0.02 mm</t>
  </si>
  <si>
    <t>10 x 2 x 1 mm</t>
  </si>
  <si>
    <t>Kraus et al. (1930)</t>
  </si>
  <si>
    <t>0.2 x 0.2 x 0.1 mm</t>
  </si>
  <si>
    <t>3 x 1 x 0.5 mm</t>
  </si>
  <si>
    <t>2 x 2 x 0.7 mm</t>
  </si>
  <si>
    <t>10 x 4 x 3 mm</t>
  </si>
  <si>
    <r>
      <t xml:space="preserve">2 x 2 x 2 </t>
    </r>
    <r>
      <rPr>
        <sz val="11"/>
        <color theme="1"/>
        <rFont val="Calibri"/>
        <family val="2"/>
      </rPr>
      <t>μm</t>
    </r>
  </si>
  <si>
    <t>0.8 x 0.3 x 0.3 mm</t>
  </si>
  <si>
    <t>Aristarain and Hurlbut (1968)</t>
  </si>
  <si>
    <r>
      <t xml:space="preserve">10 x 10 x 10 </t>
    </r>
    <r>
      <rPr>
        <sz val="11"/>
        <color theme="1"/>
        <rFont val="Calibri"/>
        <family val="2"/>
      </rPr>
      <t>μ</t>
    </r>
    <r>
      <rPr>
        <sz val="10"/>
        <rFont val="Arial"/>
      </rPr>
      <t>m</t>
    </r>
  </si>
  <si>
    <t>3 x 3 x 3 inches</t>
  </si>
  <si>
    <t>Burns et al. (1992)</t>
  </si>
  <si>
    <t>0.5 x 0.1 x 0.1 mm</t>
  </si>
  <si>
    <t>6 x 1 x 1 mm</t>
  </si>
  <si>
    <t>Switzer (1938)</t>
  </si>
  <si>
    <t>1.5 x 0.5 x 0.05 mm</t>
  </si>
  <si>
    <t>Kondrat'eva et al. (1966)</t>
  </si>
  <si>
    <t>Eakle (1920)</t>
  </si>
  <si>
    <r>
      <t xml:space="preserve">100 x 30 x 30 </t>
    </r>
    <r>
      <rPr>
        <sz val="11"/>
        <rFont val="Calibri"/>
        <family val="2"/>
      </rPr>
      <t xml:space="preserve">μm </t>
    </r>
  </si>
  <si>
    <t>2 x 0.05 x 0.05 mm</t>
  </si>
  <si>
    <t>Grice et al. (2002)</t>
  </si>
  <si>
    <r>
      <t xml:space="preserve">15 x 15 x 2 </t>
    </r>
    <r>
      <rPr>
        <sz val="11"/>
        <color theme="1"/>
        <rFont val="Calibri"/>
        <family val="2"/>
      </rPr>
      <t>μm</t>
    </r>
  </si>
  <si>
    <t>Moore et al. (1990)</t>
  </si>
  <si>
    <t>3 x 3 x 5 cm</t>
  </si>
  <si>
    <t>0.1 x 0.2 x 1 mm</t>
  </si>
  <si>
    <t>Huang et al. (1994)</t>
  </si>
  <si>
    <t>mm3</t>
  </si>
  <si>
    <t>0.1577 g @ 3.178 g/cm3</t>
  </si>
  <si>
    <t>Grew et al. (1998)</t>
  </si>
  <si>
    <t>Werner (1789)</t>
  </si>
  <si>
    <t>Pertsev et al. (1965)</t>
  </si>
  <si>
    <t>mixed anion</t>
  </si>
  <si>
    <t>3 x 3 x 3 mm ("several")</t>
  </si>
  <si>
    <t>Vernadsky (1913 )</t>
  </si>
  <si>
    <t xml:space="preserve">Geijer (1926) </t>
  </si>
  <si>
    <t>Klaproth (1806)</t>
  </si>
  <si>
    <t>Petrova (1957)</t>
  </si>
  <si>
    <t>Hess (1834)</t>
  </si>
  <si>
    <t>Schaller (1914, 1916)</t>
  </si>
  <si>
    <t>Bovin and O'Keefe (1980)</t>
  </si>
  <si>
    <t>Silliman (1873)</t>
  </si>
  <si>
    <t>Brush (1868)</t>
  </si>
  <si>
    <t>synthetic first</t>
  </si>
  <si>
    <t>mineral first</t>
  </si>
  <si>
    <t>solid solution</t>
  </si>
  <si>
    <t>novel structure</t>
  </si>
  <si>
    <t>Synthetc</t>
  </si>
  <si>
    <t>Potential analogues</t>
  </si>
  <si>
    <t>No synthesis reported</t>
  </si>
  <si>
    <t>Eugster and Wise (1963)</t>
  </si>
  <si>
    <t>no synthesis reported</t>
  </si>
  <si>
    <t>No synthesis reported (Galuskina et al. (2010)</t>
  </si>
  <si>
    <t>Wentorf (1957)</t>
  </si>
  <si>
    <t>Werding et al. (1990)</t>
  </si>
  <si>
    <t>Schaller (1933); Clark and Christ (1959)</t>
  </si>
  <si>
    <t>Palache et al. (1951); Zambonini (1926)</t>
  </si>
  <si>
    <t xml:space="preserve">Tschermak (1874) </t>
  </si>
  <si>
    <t>80 x 1 x 1 mm</t>
  </si>
  <si>
    <t>Nekrasov and Kashirtseva (1975)</t>
  </si>
  <si>
    <t>Konijnendijk and Blasse (1985)</t>
  </si>
  <si>
    <t>Zaslavskiy and Zvinchuk (1953)</t>
  </si>
  <si>
    <t>Nelmes (1974)</t>
  </si>
  <si>
    <t>Stubicon and Roy (1962)</t>
  </si>
  <si>
    <t>No synthesis reported (Aristarain and Hurlbut 1967)</t>
  </si>
  <si>
    <t xml:space="preserve">Schlatti (1968) </t>
  </si>
  <si>
    <t>No synthesis reported (Heyward et al. 2013)</t>
  </si>
  <si>
    <t>No synthesis reported (Pekov et al. 2015)</t>
  </si>
  <si>
    <t>béhierite</t>
  </si>
  <si>
    <t>Robbins and Yoder (1962); London (2011)</t>
  </si>
  <si>
    <t>Feit (1889)</t>
  </si>
  <si>
    <t>Werding and Schreyer (1990)</t>
  </si>
  <si>
    <t>5 x 5 x 0.5 mm</t>
  </si>
  <si>
    <t>5 x 2 x 2 cm</t>
  </si>
  <si>
    <t>No synthesis reported (London (2011)</t>
  </si>
  <si>
    <t>Olesch and Seifert (1976)</t>
  </si>
  <si>
    <t>No synthesis reported (Yamnova et al. 2012)</t>
  </si>
  <si>
    <t xml:space="preserve">Sauer (1886) </t>
  </si>
  <si>
    <t>Diman and Nekrasov (1969)</t>
  </si>
  <si>
    <t>No synthesis reported (Ericksen et al. 1986)</t>
  </si>
  <si>
    <t>Bondareva et al. (1978)</t>
  </si>
  <si>
    <t>No synthesis reported (Kadyski et al. 2008)</t>
  </si>
  <si>
    <t>No synthesis reported (McMillen et al. 2012)</t>
  </si>
  <si>
    <t>No synthesis reported (Pekov et al. 2012)</t>
  </si>
  <si>
    <t>No synthesis reported (Brugger et al. 2012)</t>
  </si>
  <si>
    <t>Berdesinski (1951)</t>
  </si>
  <si>
    <t>Werding and Schreyer (1996)</t>
  </si>
  <si>
    <t>Nöllner C (1870)</t>
  </si>
  <si>
    <t>No synthesis reported (Khomyakov et al. 2000)</t>
  </si>
  <si>
    <t>No synthesis reported (Krivovichev et al. 2009)</t>
  </si>
  <si>
    <t>Kracek et al. (1938); Demartin et al. (2011)</t>
  </si>
  <si>
    <t>Watanabe (1939); Davis and Knight (1945)</t>
  </si>
  <si>
    <t>Isostructural with nobleite</t>
  </si>
  <si>
    <t>Isostructural with tunellite</t>
  </si>
  <si>
    <t>Erd et al (1961b)</t>
  </si>
  <si>
    <t>nolzeite</t>
  </si>
  <si>
    <t>isostructural with borcarite</t>
  </si>
  <si>
    <t>Isostructural with numanoite</t>
  </si>
  <si>
    <t>von Goerne et al. (1999)</t>
  </si>
  <si>
    <t>Cappitelli et al. (2009)</t>
  </si>
  <si>
    <t>Eugster and McIver (1959)</t>
  </si>
  <si>
    <t>Smith (1949); London (2011)</t>
  </si>
  <si>
    <t>No synthesis reported (Yakubovich et al. 2013)</t>
  </si>
  <si>
    <t>No synthesis reported (Kusachi et al. 2013)</t>
  </si>
  <si>
    <t>Capponi et al. (1973); Werding et al. (1981)</t>
  </si>
  <si>
    <t>Nekrasov and  Nekrasova (1971)</t>
  </si>
  <si>
    <t>No synthesis reported (Konnert et al. 1970)</t>
  </si>
  <si>
    <r>
      <t>Lehmann et al. (1958); Hart and Brown (1962); Sch</t>
    </r>
    <r>
      <rPr>
        <sz val="10"/>
        <rFont val="Calibri"/>
        <family val="2"/>
      </rPr>
      <t>ä</t>
    </r>
    <r>
      <rPr>
        <sz val="10"/>
        <rFont val="Arial"/>
      </rPr>
      <t>fer (1968); Sun et al. (2011)</t>
    </r>
  </si>
  <si>
    <t>Mellor (1929, p. 70)</t>
  </si>
  <si>
    <t>Parkerson (1963)</t>
  </si>
  <si>
    <t>dimorph of vimsite</t>
  </si>
  <si>
    <t>dimorph of uralborite</t>
  </si>
  <si>
    <t>No synthesis reported (Erd et al. 1970)</t>
  </si>
  <si>
    <t>Werding and Schreyer (1992)</t>
  </si>
  <si>
    <t>No synthesis reported (Bovin et al. 1996; Cooper et al. 1998)</t>
  </si>
  <si>
    <t>oyelite</t>
  </si>
  <si>
    <t>No synthesis reported (Yamnova et al. 2015)</t>
  </si>
  <si>
    <t>isostructural with forsterite</t>
  </si>
  <si>
    <t>isostructural with chondrodite</t>
  </si>
  <si>
    <t>Localities (1978)</t>
  </si>
  <si>
    <t>Bold - number of localities from primary literature</t>
  </si>
  <si>
    <t>Original maximum dimensions</t>
  </si>
  <si>
    <t>Discovery year</t>
  </si>
  <si>
    <t>1 x 0.2 x 0.2 inches</t>
  </si>
  <si>
    <t>1 x 0.4 x 0.4 mm</t>
  </si>
  <si>
    <t>5 x 2 x 2 mm</t>
  </si>
  <si>
    <t>6 x 3 x 1 mm</t>
  </si>
  <si>
    <t>5 x 1.5 x 0.5 mm</t>
  </si>
  <si>
    <r>
      <t xml:space="preserve">3 cm x </t>
    </r>
    <r>
      <rPr>
        <sz val="11"/>
        <rFont val="Calibri"/>
        <family val="2"/>
        <scheme val="minor"/>
      </rPr>
      <t>3 mm x 3 mm</t>
    </r>
  </si>
  <si>
    <t>10 x 0.5 x 0.5 mm</t>
  </si>
  <si>
    <t>2.5 x 1 x 0.5 mm</t>
  </si>
  <si>
    <t>2 x 0.8 x 0.8 mm</t>
  </si>
  <si>
    <t>Dunn et al. (1983a)</t>
  </si>
  <si>
    <t>Gonnard (1881); Damour (1881)</t>
  </si>
  <si>
    <t>Malinko et al. (1980)</t>
  </si>
  <si>
    <t>Mason et al. (1964); Donnay et al. (1966)</t>
  </si>
  <si>
    <t>Bosi et al. (2013a)</t>
  </si>
  <si>
    <t>Kunitz (1930)</t>
  </si>
  <si>
    <t>MacDonald et al. (1993)</t>
  </si>
  <si>
    <t>Dunn et al. (1983b)</t>
  </si>
  <si>
    <t>Lacroix (1902, 1904)</t>
  </si>
  <si>
    <t>Simonov et al. (1977)</t>
  </si>
  <si>
    <t>Paijkull (1876); Larsen (2010)</t>
  </si>
  <si>
    <t>Nordenskiold (1877); Holtstam and Langhof (1999)</t>
  </si>
  <si>
    <t>Kampf and Favreau (2004)</t>
  </si>
  <si>
    <r>
      <rPr>
        <sz val="11"/>
        <rFont val="Calibri"/>
        <family val="2"/>
        <scheme val="minor"/>
      </rPr>
      <t>Damour (1883); Websky (1883)</t>
    </r>
    <r>
      <rPr>
        <sz val="11"/>
        <color rgb="FFFF0000"/>
        <rFont val="Calibri"/>
        <family val="2"/>
        <scheme val="minor"/>
      </rPr>
      <t/>
    </r>
  </si>
  <si>
    <t>Bechi (1854)</t>
  </si>
  <si>
    <r>
      <rPr>
        <sz val="11"/>
        <rFont val="Calibri"/>
        <family val="2"/>
        <scheme val="minor"/>
      </rPr>
      <t>Flink (1901</t>
    </r>
    <r>
      <rPr>
        <sz val="10"/>
        <rFont val="Arial"/>
      </rPr>
      <t>)</t>
    </r>
  </si>
  <si>
    <t>Kolitsch et al. (2013)</t>
  </si>
  <si>
    <t>Lobanova and Avrova (1964); Pekov (1998; Plate 75)</t>
  </si>
  <si>
    <t>Erd et al. (1961a)</t>
  </si>
  <si>
    <r>
      <t>Br</t>
    </r>
    <r>
      <rPr>
        <sz val="10"/>
        <rFont val="Calibri"/>
        <family val="2"/>
      </rPr>
      <t>ö</t>
    </r>
    <r>
      <rPr>
        <sz val="10"/>
        <rFont val="Arial"/>
      </rPr>
      <t>gger (1887); Larsen (2010)</t>
    </r>
  </si>
  <si>
    <t>Bosi et al. (2012a)</t>
  </si>
  <si>
    <t>Kusachi et al. (1980, 1984)</t>
  </si>
  <si>
    <t>Boiocchi et al. (2006): Ciriotti et al. (2009, p. 223)</t>
  </si>
  <si>
    <t>Staute (1884)</t>
  </si>
  <si>
    <t>Eakle (1929)</t>
  </si>
  <si>
    <t>Schreyer et al. (1998)</t>
  </si>
  <si>
    <t>Rose (1834); Pekov et al. (2010)</t>
  </si>
  <si>
    <t>Berman and Gonyer (1937); Aristarain et al. (1974)</t>
  </si>
  <si>
    <t>Schlüter et al. (2008)</t>
  </si>
  <si>
    <t>Karsten (1800)</t>
  </si>
  <si>
    <r>
      <t>Cipriani (1957)</t>
    </r>
    <r>
      <rPr>
        <sz val="10"/>
        <color rgb="FFFF0000"/>
        <rFont val="Arial"/>
        <family val="2"/>
      </rPr>
      <t xml:space="preserve"> </t>
    </r>
  </si>
  <si>
    <r>
      <rPr>
        <sz val="11"/>
        <rFont val="Calibri"/>
        <family val="2"/>
        <scheme val="minor"/>
      </rPr>
      <t>Malinko (1974)</t>
    </r>
    <r>
      <rPr>
        <sz val="11"/>
        <color rgb="FFFF0000"/>
        <rFont val="Calibri"/>
        <family val="2"/>
        <scheme val="minor"/>
      </rPr>
      <t xml:space="preserve"> </t>
    </r>
  </si>
  <si>
    <t xml:space="preserve">Peacor et al. (1983) </t>
  </si>
  <si>
    <r>
      <t>B</t>
    </r>
    <r>
      <rPr>
        <sz val="10"/>
        <rFont val="Calibri"/>
        <family val="2"/>
      </rPr>
      <t>ü</t>
    </r>
    <r>
      <rPr>
        <sz val="10"/>
        <rFont val="Arial"/>
      </rPr>
      <t>cking (1893)</t>
    </r>
  </si>
  <si>
    <t>Shepard (1978); Schaller (1930)</t>
  </si>
  <si>
    <t>Erd et al. (1961b)</t>
  </si>
  <si>
    <t>Kondrat'eva (1964)</t>
  </si>
  <si>
    <t>Bosi et al. (2014a)</t>
  </si>
  <si>
    <t>Bosi et al. (2014b)</t>
  </si>
  <si>
    <r>
      <t>Cemp</t>
    </r>
    <r>
      <rPr>
        <sz val="10"/>
        <rFont val="Calibri"/>
        <family val="2"/>
      </rPr>
      <t>í</t>
    </r>
    <r>
      <rPr>
        <sz val="10"/>
        <rFont val="Arial"/>
      </rPr>
      <t>rek et al. (2016)</t>
    </r>
  </si>
  <si>
    <t>Dunn et al. (1990); Dunn (1995, p. 517, Figure 19-10)</t>
  </si>
  <si>
    <t>Epprecht et al. (1946, 1959)</t>
  </si>
  <si>
    <t>Chu et al. (1964a,b)</t>
  </si>
  <si>
    <t>Lehman and Papenfuss (1959); Nekrasov et al. (1970, p. 71)</t>
  </si>
  <si>
    <t>Nikolaychuk et al. (1970)</t>
  </si>
  <si>
    <t>Schmid and Trooster (1967); Nelmes (1974)</t>
  </si>
  <si>
    <t>Fleischer (1958, p. 386); Zeigan (1966)</t>
  </si>
  <si>
    <t>Erd et al. (1959); Lehmann et al. (1966)</t>
  </si>
  <si>
    <t>Synthesis of orthorhombic polymorph not reported (Nikolaychuk et al. 1970)</t>
  </si>
  <si>
    <t>Belokoneva et al. (2010)</t>
  </si>
  <si>
    <t>No synthesis reported (Gatta et al. 2010)</t>
  </si>
  <si>
    <r>
      <t xml:space="preserve">Synthetic is OH-dominant at </t>
    </r>
    <r>
      <rPr>
        <i/>
        <sz val="10"/>
        <rFont val="Arial"/>
        <family val="2"/>
      </rPr>
      <t>W</t>
    </r>
    <r>
      <rPr>
        <sz val="10"/>
        <rFont val="Arial"/>
      </rPr>
      <t xml:space="preserve"> site (Berryman et al. 2014)</t>
    </r>
  </si>
  <si>
    <t>Auger (1925); Ball and  Kemp (1956); Nies and Hulberd (1967)</t>
  </si>
  <si>
    <t>Wang et al. (2007)</t>
  </si>
  <si>
    <t>Bovin and O'Keefe (1981); Cooper and Tilley (1991, 1992)</t>
  </si>
  <si>
    <t>Bovin and O'Keefe (1981)</t>
  </si>
  <si>
    <t>Nekrasov (1970, p 134-135, 138-139)  Sun et a. (2011)</t>
  </si>
  <si>
    <t xml:space="preserve">Werding and Schreyer (1978, 1996) </t>
  </si>
  <si>
    <t>Touboul et al. (2003); Thomas et al. (2008)</t>
  </si>
  <si>
    <t>Milton et al. (1955b, 1960); Eugster and McIver (1959)</t>
  </si>
  <si>
    <t>Nekrasov and Malinko (1973)</t>
  </si>
  <si>
    <t>Mellor (1929, p. 48-49)</t>
  </si>
  <si>
    <t>Nekrasov et al. (1970); Sun et al. (2011)</t>
  </si>
  <si>
    <t>Watanabe (1953); Guo et al. (1995)</t>
  </si>
  <si>
    <t>Zeng and Liou (1982)</t>
  </si>
  <si>
    <r>
      <t>Sch</t>
    </r>
    <r>
      <rPr>
        <sz val="10"/>
        <rFont val="Calibri"/>
        <family val="2"/>
      </rPr>
      <t>ä</t>
    </r>
    <r>
      <rPr>
        <sz val="10"/>
        <rFont val="Arial"/>
      </rPr>
      <t>fer (1968); Kusachi et al. (1995)</t>
    </r>
  </si>
  <si>
    <t>Cooper and Tilley (1991, 1992)</t>
  </si>
  <si>
    <t>No synthesis reported (Burns and Carpenter 1996; Peter Burns, personal communication, August 31, 2015)</t>
  </si>
  <si>
    <t>No synthesis reported (Pasero et al. 2010)</t>
  </si>
  <si>
    <t>No synthesis of tourmaline with Mn &gt;1.5 pfu reported (London 2011; Bosi et al. 2012b)</t>
  </si>
  <si>
    <t>Nekrasov (1973)</t>
  </si>
  <si>
    <r>
      <t>No synthesis reported (Cemp</t>
    </r>
    <r>
      <rPr>
        <sz val="10"/>
        <rFont val="Calibri"/>
        <family val="2"/>
      </rPr>
      <t>í</t>
    </r>
    <r>
      <rPr>
        <sz val="10"/>
        <rFont val="Arial"/>
      </rPr>
      <t>rek et al. 2016)</t>
    </r>
  </si>
  <si>
    <t>Bertaut (1950); Bertaut et al. (1950)</t>
  </si>
  <si>
    <t>Li et al. (2003); Campostrini and Demartin (2014)</t>
  </si>
  <si>
    <t>No synthesis reported (Merlino and Sartori 1969)</t>
  </si>
  <si>
    <t>van't Hoff and Bruni (1902); Palache et al. (1951)</t>
  </si>
  <si>
    <t>braitschite-(Ce)</t>
  </si>
  <si>
    <t>axinite-(Fe)</t>
  </si>
  <si>
    <t>axinite-(Mg)</t>
  </si>
  <si>
    <t>axinite-(Mn)</t>
  </si>
  <si>
    <t>cappelenite-(Y)</t>
  </si>
  <si>
    <t>fontarnauite</t>
  </si>
  <si>
    <t>hellandite-(Ce)</t>
  </si>
  <si>
    <t>hellandite-(Y)</t>
  </si>
  <si>
    <t>hundholmenite-(Y)</t>
  </si>
  <si>
    <t>kapitsaite-(Y)</t>
  </si>
  <si>
    <t>laptevite-(Ce)</t>
  </si>
  <si>
    <t>luinaite-(OH)</t>
  </si>
  <si>
    <t>kornerupine (B &gt; 0.5 for 2016)</t>
  </si>
  <si>
    <t>melanocerite-(Ce)</t>
  </si>
  <si>
    <t>mengxianminite</t>
  </si>
  <si>
    <t>(Ca,Na)2Sn2(Mg,Fe)3Al8[(BO3)(BeO4)O6]2</t>
  </si>
  <si>
    <t>mottanaite-(Ce)</t>
  </si>
  <si>
    <t>moydite-(Y)</t>
  </si>
  <si>
    <t>nordenskiöldine</t>
  </si>
  <si>
    <t>okanoganite-(Y)</t>
  </si>
  <si>
    <t>"oxy-magnesio-foitite"</t>
  </si>
  <si>
    <t>Bačik et al. (2015)</t>
  </si>
  <si>
    <t>peprossiite-(Ce)</t>
  </si>
  <si>
    <t>pertsevite-(F)</t>
  </si>
  <si>
    <t>pertsevite-(OH)</t>
  </si>
  <si>
    <t>piergorite-(Ce)</t>
  </si>
  <si>
    <t>proshchenkoite-(Y)</t>
  </si>
  <si>
    <t>ramanite-(Cs)</t>
  </si>
  <si>
    <t>ramanite-(Rb)</t>
  </si>
  <si>
    <t>stillwellite-(Ce)</t>
  </si>
  <si>
    <t>tadzhikite-(Ce)</t>
  </si>
  <si>
    <t>tritomite-(Ce)</t>
  </si>
  <si>
    <t>tritomite-(Y)</t>
  </si>
  <si>
    <t>vicanite-(Ce)</t>
  </si>
  <si>
    <r>
      <t>veatchite (=veatchite-2</t>
    </r>
    <r>
      <rPr>
        <b/>
        <i/>
        <sz val="10"/>
        <color rgb="FF333333"/>
        <rFont val="Arial"/>
        <family val="2"/>
      </rPr>
      <t>M</t>
    </r>
    <r>
      <rPr>
        <b/>
        <sz val="10"/>
        <color rgb="FF333333"/>
        <rFont val="Arial"/>
        <family val="2"/>
      </rPr>
      <t>)</t>
    </r>
  </si>
  <si>
    <r>
      <t>p-veatchite (=veatchite-1</t>
    </r>
    <r>
      <rPr>
        <b/>
        <i/>
        <sz val="10"/>
        <color rgb="FF333333"/>
        <rFont val="Arial"/>
        <family val="2"/>
      </rPr>
      <t>M</t>
    </r>
    <r>
      <rPr>
        <b/>
        <sz val="10"/>
        <color rgb="FF333333"/>
        <rFont val="Arial"/>
        <family val="2"/>
      </rPr>
      <t>)</t>
    </r>
  </si>
  <si>
    <r>
      <t>veatchite-2</t>
    </r>
    <r>
      <rPr>
        <b/>
        <i/>
        <sz val="10"/>
        <color rgb="FF333333"/>
        <rFont val="Arial"/>
        <family val="2"/>
      </rPr>
      <t>M</t>
    </r>
    <r>
      <rPr>
        <b/>
        <sz val="10"/>
        <color rgb="FF333333"/>
        <rFont val="Arial"/>
        <family val="2"/>
      </rPr>
      <t>, -1</t>
    </r>
    <r>
      <rPr>
        <b/>
        <i/>
        <sz val="10"/>
        <color rgb="FF333333"/>
        <rFont val="Arial"/>
        <family val="2"/>
      </rPr>
      <t>M</t>
    </r>
    <r>
      <rPr>
        <b/>
        <sz val="10"/>
        <color rgb="FF333333"/>
        <rFont val="Arial"/>
        <family val="2"/>
      </rPr>
      <t>, -1</t>
    </r>
    <r>
      <rPr>
        <b/>
        <i/>
        <sz val="10"/>
        <color rgb="FF333333"/>
        <rFont val="Arial"/>
        <family val="2"/>
      </rPr>
      <t xml:space="preserve">A </t>
    </r>
    <r>
      <rPr>
        <b/>
        <sz val="10"/>
        <color rgb="FF333333"/>
        <rFont val="Arial"/>
        <family val="2"/>
      </rPr>
      <t>(all polytypes)</t>
    </r>
  </si>
  <si>
    <t>Braitsch (1959a)</t>
  </si>
  <si>
    <t>Braitsch (1959b)</t>
  </si>
  <si>
    <r>
      <t xml:space="preserve">warwickite </t>
    </r>
    <r>
      <rPr>
        <sz val="10"/>
        <color rgb="FF333333"/>
        <rFont val="Arial"/>
        <family val="2"/>
      </rPr>
      <t>((Mg,Fe)</t>
    </r>
    <r>
      <rPr>
        <vertAlign val="subscript"/>
        <sz val="10"/>
        <color rgb="FF333333"/>
        <rFont val="Arial"/>
        <family val="2"/>
      </rPr>
      <t>1.5</t>
    </r>
    <r>
      <rPr>
        <sz val="10"/>
        <color rgb="FF333333"/>
        <rFont val="Arial"/>
        <family val="2"/>
      </rPr>
      <t>Ti</t>
    </r>
    <r>
      <rPr>
        <vertAlign val="subscript"/>
        <sz val="10"/>
        <color rgb="FF333333"/>
        <rFont val="Arial"/>
        <family val="2"/>
      </rPr>
      <t>0.5</t>
    </r>
    <r>
      <rPr>
        <sz val="10"/>
        <color rgb="FF333333"/>
        <rFont val="Arial"/>
        <family val="2"/>
      </rPr>
      <t>BO</t>
    </r>
    <r>
      <rPr>
        <vertAlign val="subscript"/>
        <sz val="10"/>
        <color rgb="FF333333"/>
        <rFont val="Arial"/>
        <family val="2"/>
      </rPr>
      <t>4</t>
    </r>
    <r>
      <rPr>
        <sz val="10"/>
        <color rgb="FF333333"/>
        <rFont val="Arial"/>
        <family val="2"/>
      </rPr>
      <t xml:space="preserve"> dominant) for 2016)</t>
    </r>
  </si>
  <si>
    <t>folvikite</t>
  </si>
  <si>
    <t>Sb5+Mn3+(Mg,Mn2+)10O8(BO3)4</t>
  </si>
  <si>
    <t>Cu2Fe3+O2(BO3)</t>
  </si>
  <si>
    <t>Marinaite</t>
  </si>
  <si>
    <t>Chaplygin et al. (2016)</t>
  </si>
  <si>
    <t>unnamed Mg-analogue of blatterite</t>
  </si>
  <si>
    <r>
      <t>Sb2.72(Mn3+8.20Fe3+0.80)</t>
    </r>
    <r>
      <rPr>
        <sz val="10"/>
        <rFont val="Calibri"/>
        <family val="2"/>
      </rPr>
      <t>Σ</t>
    </r>
    <r>
      <rPr>
        <sz val="10"/>
        <rFont val="Arial"/>
      </rPr>
      <t>=9(Mg21.28Mn2+14.84)</t>
    </r>
    <r>
      <rPr>
        <sz val="10"/>
        <rFont val="Calibri"/>
        <family val="2"/>
      </rPr>
      <t>Σ</t>
    </r>
    <r>
      <rPr>
        <sz val="10"/>
        <rFont val="Arial"/>
      </rPr>
      <t>=36.12(BO3)16O32</t>
    </r>
  </si>
  <si>
    <t>B-293</t>
  </si>
  <si>
    <t>B-294</t>
  </si>
  <si>
    <t>B-295</t>
  </si>
  <si>
    <t>unnamed boron carbide</t>
  </si>
  <si>
    <t>B4C</t>
  </si>
  <si>
    <t>300 x 300 x 300 nm</t>
  </si>
  <si>
    <t>Kaminsky et al. (2016)</t>
  </si>
  <si>
    <t>unnamed titanium boride</t>
  </si>
  <si>
    <t>carbide</t>
  </si>
  <si>
    <t>boride</t>
  </si>
  <si>
    <t>Griffin et al. (2016)</t>
  </si>
  <si>
    <t>TiB2</t>
  </si>
  <si>
    <t>Sum</t>
  </si>
  <si>
    <t>roymillerite</t>
  </si>
  <si>
    <t>Pb24Mg9(Si10O28)(CO3)10(BO3)(SiO4)(OH)13O5</t>
  </si>
  <si>
    <t>related to britvinite</t>
  </si>
  <si>
    <t>related to roymillerite</t>
  </si>
  <si>
    <t>Campostrini and Demartin (2014)</t>
  </si>
  <si>
    <t>Bovin et al. (1996); Cooper and Hawthorne (1998)</t>
  </si>
  <si>
    <t>Walenta (1976, 2008)</t>
  </si>
  <si>
    <t>Aristarain (1992)</t>
  </si>
  <si>
    <t>Nekrasov and Nekrasova (1995)</t>
  </si>
  <si>
    <t>Chao et al. (1990); Graetsch and Schreyer (2005)</t>
  </si>
  <si>
    <t>Reference for size of type material or information on the mineral</t>
  </si>
  <si>
    <t>B-288</t>
  </si>
  <si>
    <t>Mont-Saint-Hilaire UK 53B</t>
  </si>
  <si>
    <t>Wight and Chao (1995)</t>
  </si>
  <si>
    <t xml:space="preserve">(NH4)[B5O6(OH)4]·2H2O </t>
  </si>
  <si>
    <t>uvite sensu lato</t>
  </si>
  <si>
    <t>bakerite (discredited IMA 16-A)</t>
  </si>
  <si>
    <t>calcybeborosilite-(Y) [no longer considered valid]</t>
  </si>
  <si>
    <t>Semenov et al. (1963); Pekov et al. (2001); Bačík et al. (in press)</t>
  </si>
  <si>
    <t>10 x 10 x 10 mm</t>
  </si>
  <si>
    <t>Ammonium analogue of santite (B102, B103)</t>
  </si>
  <si>
    <t>Italics - number of localities from mindat.org (January 15, 2016) courtesy of Joshua Golden (personal communication, September 1, 2016) or 50.1% of 2015 counts for 1978.</t>
  </si>
  <si>
    <t xml:space="preserve">100 x 30 x 10 μm </t>
  </si>
  <si>
    <t>Bertaut (1950);Bertaut et al. (1950)</t>
  </si>
  <si>
    <t>von Goerne and Franz (2000)</t>
  </si>
  <si>
    <t>Ufer (1996) cited in Graetsch and Schreyer (2005)</t>
  </si>
  <si>
    <t>Clark and Hoard (1943), Yakel (1975)</t>
  </si>
  <si>
    <t>Juretschke and Steinitz (1958); Huber (1966)</t>
  </si>
  <si>
    <t>Appendix 3</t>
  </si>
  <si>
    <t>Chukanov et al. (2016a)</t>
  </si>
  <si>
    <t>Grew et al. (2016)</t>
  </si>
  <si>
    <r>
      <t xml:space="preserve">100 x 100 x 10 </t>
    </r>
    <r>
      <rPr>
        <sz val="11"/>
        <color theme="1"/>
        <rFont val="Calibri"/>
        <family val="2"/>
      </rPr>
      <t>μm</t>
    </r>
  </si>
  <si>
    <t>Agakhanov et al. (2017)</t>
  </si>
  <si>
    <t>Zambonini (1926); size from sample R110062 at http://rruff.info/avogadrite/display=default/</t>
  </si>
  <si>
    <t>Jobbins et al. (1975)</t>
  </si>
  <si>
    <t>Giles (1903); size estimated by Anthony Kampf (personal communication, January 8, 2016); Hålenius et al. (2016); Bačík et al. (in press)</t>
  </si>
  <si>
    <t>Palache and Foshag (1938)</t>
  </si>
  <si>
    <t>300 μm x 1 μm x 1 μm</t>
  </si>
  <si>
    <t>2 x 0.4 x 0.4 mm</t>
  </si>
  <si>
    <t>Raade et al. (1988)</t>
  </si>
  <si>
    <t>400 μm x 30 μm x 30 μm</t>
  </si>
  <si>
    <t>De Waal et al. (1974)</t>
  </si>
  <si>
    <t>Agricola (1556)</t>
  </si>
  <si>
    <t>Zagorsky et al. (2003)</t>
  </si>
  <si>
    <t>0.2 x 0.1 x 0.1 mm</t>
  </si>
  <si>
    <t>Ertl et al. (2015, 2016b)</t>
  </si>
  <si>
    <t>Chukanov et al. (2007)</t>
  </si>
  <si>
    <t>Sokolova et al. (2009); Pautov et al. (2011)</t>
  </si>
  <si>
    <t>Palache and Bauer (1927)</t>
  </si>
  <si>
    <t>Petrova (1955); Malinko et al. (1991, p. 58)</t>
  </si>
  <si>
    <t>Brögger (1884); Larsen (2010)</t>
  </si>
  <si>
    <t>6 x 6 x 6 mm</t>
  </si>
  <si>
    <t>Hanks (1883)</t>
  </si>
  <si>
    <t>Tschermak (1884); Ertl (2007); Andreas Ertl (personal communication January 9, 2016)</t>
  </si>
  <si>
    <r>
      <t>K</t>
    </r>
    <r>
      <rPr>
        <sz val="10"/>
        <rFont val="Calibri"/>
        <family val="2"/>
      </rPr>
      <t>ü</t>
    </r>
    <r>
      <rPr>
        <sz val="10"/>
        <rFont val="Arial"/>
      </rPr>
      <t>hn et al. (1962)</t>
    </r>
  </si>
  <si>
    <r>
      <rPr>
        <sz val="11"/>
        <rFont val="Calibri"/>
        <family val="2"/>
        <scheme val="minor"/>
      </rPr>
      <t xml:space="preserve">Malinko et al. (1972, Figure 1); </t>
    </r>
    <r>
      <rPr>
        <sz val="10"/>
        <rFont val="Arial"/>
      </rPr>
      <t>Malinko et al. (1976)</t>
    </r>
  </si>
  <si>
    <t xml:space="preserve">Synthesis reported on the basis of cell parameters and similarity in composition, but specifics on the composition were not given (Donnay et al. 1966) </t>
  </si>
  <si>
    <t>Breaks et al. (2008)</t>
  </si>
  <si>
    <t>0.4 x 0.4 x 0.3 mm</t>
  </si>
  <si>
    <t>3 x 3 x 3 mm (given as "a few")</t>
  </si>
  <si>
    <t>Milton et al. (1955a); Milton and Pabst (1974)</t>
  </si>
  <si>
    <r>
      <rPr>
        <sz val="11"/>
        <rFont val="Calibri"/>
        <family val="2"/>
        <scheme val="minor"/>
      </rPr>
      <t xml:space="preserve">D'Achiardi (1934); </t>
    </r>
    <r>
      <rPr>
        <sz val="10"/>
        <rFont val="Arial"/>
      </rPr>
      <t>Hey and Bannister (1952)</t>
    </r>
  </si>
  <si>
    <r>
      <t>Br</t>
    </r>
    <r>
      <rPr>
        <sz val="11"/>
        <rFont val="Calibri"/>
        <family val="2"/>
      </rPr>
      <t>ö</t>
    </r>
    <r>
      <rPr>
        <sz val="11"/>
        <rFont val="Calibri"/>
        <family val="2"/>
        <scheme val="minor"/>
      </rPr>
      <t>gger (1890a)</t>
    </r>
  </si>
  <si>
    <r>
      <t>Tilley (</t>
    </r>
    <r>
      <rPr>
        <sz val="11"/>
        <rFont val="Calibri"/>
        <family val="2"/>
        <scheme val="minor"/>
      </rPr>
      <t xml:space="preserve">1948, </t>
    </r>
    <r>
      <rPr>
        <sz val="10"/>
        <rFont val="Arial"/>
      </rPr>
      <t>1951); Grew et al. (1999)</t>
    </r>
  </si>
  <si>
    <t>11 x 8 x 8 mm</t>
  </si>
  <si>
    <t>Brøgger (1903)</t>
  </si>
  <si>
    <t>Dana and Brush (1868)</t>
  </si>
  <si>
    <t>Chien and Chen (1965); Qian et al. (1965)</t>
  </si>
  <si>
    <t>Nishio-Hamane et al. (2015); K. Momma and R. Miyawaki (personal comm. January 12, 2016)</t>
  </si>
  <si>
    <t>Watanabe et al. (1963)</t>
  </si>
  <si>
    <t>Iwase and Saito (1942)</t>
  </si>
  <si>
    <t>10 x 0.04 x 0.04 mm</t>
  </si>
  <si>
    <t>kornerupine</t>
  </si>
  <si>
    <t>Lorenzen (1886, 1993); Grew et al.(1987)</t>
  </si>
  <si>
    <t>1.3 x 3.3 x 3.3 cm</t>
  </si>
  <si>
    <t>4.7 x 1 x 1 cm</t>
  </si>
  <si>
    <t>Malinko (1963)</t>
  </si>
  <si>
    <t>Meisser et al. (2010); Brugger et al. (2012)</t>
  </si>
  <si>
    <t>Lacroix (1912, 1922)</t>
  </si>
  <si>
    <t>Raade and Folvik (2013); Cooper et al. (2016, in preparation)</t>
  </si>
  <si>
    <t>0.3 x 0.05 x 0.05 mm</t>
  </si>
  <si>
    <t>Rao et al. (2016, 2017)</t>
  </si>
  <si>
    <t>Cipriani and Vannuccini (1961); International Mineralogical Association (1967); Ciriotti et al. (2009)</t>
  </si>
  <si>
    <t>7 x 8 x 60 μm</t>
  </si>
  <si>
    <t>Haring and McDonald (2017)</t>
  </si>
  <si>
    <t>Ohnishi et al. (2007)</t>
  </si>
  <si>
    <t>3 x 0.5 x 0.5 mm x ½ (for zoning)</t>
  </si>
  <si>
    <t>Sokolov et al. (1986)</t>
  </si>
  <si>
    <t>Randmets (1960); Holtstam and Langhof (1999)</t>
  </si>
  <si>
    <t>Ertl et al. (2005)</t>
  </si>
  <si>
    <t>1 x 1 x 1 cm (co-type)</t>
  </si>
  <si>
    <t>Bacik et al. (2013)</t>
  </si>
  <si>
    <t>Reznitskii et al. (2001); Bosi et al. 2013b)</t>
  </si>
  <si>
    <t>3 x 0.3 x 0.3 mm</t>
  </si>
  <si>
    <t>1.3 x 0.7 x 0.7 mm</t>
  </si>
  <si>
    <t>Della Ventura et al. (1993); Ciriotti et al. (2009, p. 213).</t>
  </si>
  <si>
    <t>Danisi et al. (2015)</t>
  </si>
  <si>
    <t>0.5 x 0.5 x 0.05 mm</t>
  </si>
  <si>
    <t>Flink (1891)</t>
  </si>
  <si>
    <t>Sokolov and Martin (2009)</t>
  </si>
  <si>
    <t>Grice et al. (1993)</t>
  </si>
  <si>
    <t>Bosi et al. (2016, 2017b)</t>
  </si>
  <si>
    <t>Bosi et al. (2017a)</t>
  </si>
  <si>
    <t>Walenta and Dunn (1979); Grice et al. (1993)</t>
  </si>
  <si>
    <t>1.5 x 1.5 x 0.4 mm</t>
  </si>
  <si>
    <t>5 x 2 x 2 cm (thumb size)</t>
  </si>
  <si>
    <t>Luo et al. (1993); Jambor et al. (1994)</t>
  </si>
  <si>
    <t>Milton et al (1955b, 1960)</t>
  </si>
  <si>
    <t>Hurlbut and Aristarain (1967a)</t>
  </si>
  <si>
    <t>0.5 x 0.5 x 0.5 mm (thickness of a line)</t>
  </si>
  <si>
    <t>Larsen and Hicks (1914)</t>
  </si>
  <si>
    <t>6 x 2 x 2 mm</t>
  </si>
  <si>
    <t>Kusachi et al. (2013)</t>
  </si>
  <si>
    <t>3 mm x 3 mm x 5 μm</t>
  </si>
  <si>
    <t>Vasilkova et al. (1962)</t>
  </si>
  <si>
    <t>Claringbull and Hey (1952)</t>
  </si>
  <si>
    <t>0.006 x 0.01 x 0.5 mm (average)</t>
  </si>
  <si>
    <t>Haring and McDonald (2014)</t>
  </si>
  <si>
    <t>McAndrew and Scott (1955)</t>
  </si>
  <si>
    <t>Watanabe (1953,1967)</t>
  </si>
  <si>
    <t>Peters (1862); Marincea (2001) reported 3 μm x 3 μm x 0.2 mm</t>
  </si>
  <si>
    <t>1 μm x 1 μm x 0.02 mm</t>
  </si>
  <si>
    <t>Yefimov et al. (1970)</t>
  </si>
  <si>
    <t>Tacconi (1908a, b)</t>
  </si>
  <si>
    <t>Chukanov et al. ( 2016b)</t>
  </si>
  <si>
    <r>
      <t xml:space="preserve">110 x 20 x 20 </t>
    </r>
    <r>
      <rPr>
        <sz val="11"/>
        <color theme="1"/>
        <rFont val="Calibri"/>
        <family val="2"/>
      </rPr>
      <t>μ</t>
    </r>
    <r>
      <rPr>
        <sz val="10"/>
        <rFont val="Arial"/>
      </rPr>
      <t>m</t>
    </r>
  </si>
  <si>
    <t>Matsubara and Kato (1980)</t>
  </si>
  <si>
    <t>Alfors and Pabst (1984)</t>
  </si>
  <si>
    <r>
      <t>Weibye et al. (1850); Br</t>
    </r>
    <r>
      <rPr>
        <sz val="11"/>
        <rFont val="Calibri"/>
        <family val="2"/>
      </rPr>
      <t>ö</t>
    </r>
    <r>
      <rPr>
        <sz val="11"/>
        <rFont val="Calibri"/>
        <family val="2"/>
        <scheme val="minor"/>
      </rPr>
      <t>gger (1890b)</t>
    </r>
  </si>
  <si>
    <t>8 lb ~ 3.63 kg @ 3.05 g/cm3</t>
  </si>
  <si>
    <t>Frondel (1961); Jaffe and Molinski (1962)</t>
  </si>
  <si>
    <t>1.5 x 1 x 1 cm</t>
  </si>
  <si>
    <t>Konovalenko et al. (1983)</t>
  </si>
  <si>
    <t>4 x 2 x 0.2 mm</t>
  </si>
  <si>
    <t xml:space="preserve">Dana (1850, p. 217-218; 695) </t>
  </si>
  <si>
    <t>1 x 0.5 x 0.5 mm</t>
  </si>
  <si>
    <t>Clark et al. (2010)</t>
  </si>
  <si>
    <t>Appendix 3; Henry et al. (2011)</t>
  </si>
  <si>
    <t>Switzer (1938); Grice and Pring (2012)</t>
  </si>
  <si>
    <t>Shaskin et al. (1968)</t>
  </si>
  <si>
    <t>0.5 x 0.25 x 0.25 mm (one grain only)</t>
  </si>
  <si>
    <t>0.2 x 0.02 x 0.02 mm (length/width assumed)</t>
  </si>
  <si>
    <t>Chukanov et al. (2002)</t>
  </si>
  <si>
    <t>Turner et al. (2012)</t>
  </si>
  <si>
    <t>1.5 x 1.0 x 1.0 mm region</t>
  </si>
  <si>
    <t>Shepherd (1838, 1839b)</t>
  </si>
  <si>
    <t>Shepard (1839a)</t>
  </si>
  <si>
    <t>0.1 x 0.1 x 0.01 mm</t>
  </si>
  <si>
    <t>2 x ⅓ x ⅓ inches</t>
  </si>
  <si>
    <t>0.3  x 0.2 x 0.2 mm</t>
  </si>
  <si>
    <t>Walenta (1979, Figure 1)</t>
  </si>
  <si>
    <t>Pautov et al. (1992, Figure 2)</t>
  </si>
  <si>
    <t>Malinko et al. (1961, Figure 2)</t>
  </si>
  <si>
    <t>Bosi et al. (2005, Figure 1; 2012b)</t>
  </si>
  <si>
    <t>Schaller (1914; 1916, Plate 1 and Figures 38-39)</t>
  </si>
  <si>
    <t>Yarzhemskii (1952, Figure 6)</t>
  </si>
  <si>
    <t>Malinko (1961, Figure 5)</t>
  </si>
  <si>
    <t>Prior and Coomáraswámy (1903, Figure)</t>
  </si>
  <si>
    <t>Engelhardt et al. (1956, Figure 4)</t>
  </si>
  <si>
    <t>Citation includes reference to specific figure if size is not mentioned in the text, and the figure is the only source of information on the size.</t>
  </si>
  <si>
    <t>Chukanov (2014, numbers B102 and B103)</t>
  </si>
  <si>
    <t>Ammonium analogue of santite</t>
  </si>
  <si>
    <t>Shimizu and Ogasawara (2013); Lussier et al. (2016, Figure 1)</t>
  </si>
  <si>
    <t>veatchite-A (=veatchite-1A)</t>
  </si>
  <si>
    <t>2 x 2 x 0.2 mm</t>
  </si>
  <si>
    <t>Kumbasar (1979)</t>
  </si>
  <si>
    <t>Dal Negro et al. (1976); Walenta (1982)</t>
  </si>
  <si>
    <t>No synthesis reported (Werding et al. 1981, p. 206)</t>
  </si>
  <si>
    <t>Pöter et al. (1998); Grew et al. (2008)</t>
  </si>
  <si>
    <t>Synthesis needs confirmation (Buick et al. 2008)</t>
  </si>
  <si>
    <t>No synrthesis reported (Chukanov et al. 2007; Abudoureheman et al. 2015)</t>
  </si>
  <si>
    <t>No synthesis reported (Sokolova et al. 2010; Pautov et al. 2011)</t>
  </si>
  <si>
    <t>Hart and Brown (1962); Nekrasov et al. (1970, p. 137)</t>
  </si>
  <si>
    <t>No synthesis reported ( McMillen et al. 2012; Heyward et al. 2015)</t>
  </si>
  <si>
    <t>Orthopinakiolite group (?)</t>
  </si>
  <si>
    <t>No synthesis reported (Cooper and Hawthorne 1998)</t>
  </si>
  <si>
    <t xml:space="preserve">van't Hoff (1906); Palache et al. (1951) </t>
  </si>
  <si>
    <t>Series with roweite</t>
  </si>
  <si>
    <t>Series with fedorovskite</t>
  </si>
  <si>
    <t>Brisi and Eitel (1957); Flamini et al. (1979)</t>
  </si>
  <si>
    <t>No synthesis reported (Cooper et al. 2015)</t>
  </si>
  <si>
    <t>Suhr (1938); Fleischer (1963, p. 710-711); Hurlbut and Aristarain (1967b)</t>
  </si>
  <si>
    <t>Cipriani (1961a,b); Cipriani and Vannuccini (1961); Fleischer (1963, p. 709-711)</t>
  </si>
  <si>
    <t>Compare strontioginorite</t>
  </si>
  <si>
    <t>Compare ginorite</t>
  </si>
  <si>
    <t>Nekrasov et al. (1970, p. 134-135, 143)</t>
  </si>
  <si>
    <t>Nekrasov et al. (1970, p. 42-43, 61)</t>
  </si>
  <si>
    <t>Lehman and Schubert (1968a,b)</t>
  </si>
  <si>
    <t>Series with sakhaite</t>
  </si>
  <si>
    <t>Series with ominelite</t>
  </si>
  <si>
    <t>Series with grandidierite</t>
  </si>
  <si>
    <t>Series with harkerite</t>
  </si>
  <si>
    <t>Ozol et al. (1964); Yamnova et al. (2011)</t>
  </si>
  <si>
    <t>No synthesis reported (Plachinda et al. 2005; Brugger et al. 2012)</t>
  </si>
  <si>
    <t>Gadolinite supergroup</t>
  </si>
  <si>
    <t>B &lt; 0.5 apfu; series with prismatine</t>
  </si>
  <si>
    <t>B &gt; 0.5 apfu; series with kornerupine</t>
  </si>
  <si>
    <t>Chelishcheva (1940); Nikolayev and Chelishcheva (1940); Chu et al. (1964); Tan et al. (2014)</t>
  </si>
  <si>
    <t>Nikolayev and Selivanova (1938)</t>
  </si>
  <si>
    <t>F-bearing; Nekrasov et al. (1970, p. 117-119); Rudnev et al. (2007)</t>
  </si>
  <si>
    <r>
      <t>Allowing for small differences in composition (P</t>
    </r>
    <r>
      <rPr>
        <sz val="10"/>
        <rFont val="Calibri"/>
        <family val="2"/>
      </rPr>
      <t>ö</t>
    </r>
    <r>
      <rPr>
        <sz val="10"/>
        <rFont val="Arial"/>
      </rPr>
      <t>llmann et al. 1993)</t>
    </r>
  </si>
  <si>
    <r>
      <t>No synthesis reported (P</t>
    </r>
    <r>
      <rPr>
        <sz val="10"/>
        <rFont val="Calibri"/>
        <family val="2"/>
      </rPr>
      <t>ö</t>
    </r>
    <r>
      <rPr>
        <sz val="10"/>
        <rFont val="Arial"/>
      </rPr>
      <t>llmann et al. 1989, 1993)</t>
    </r>
  </si>
  <si>
    <t>Feigelson et al. (1939); Schaller and Mrose (1960); Zuo and Liu (2010)</t>
  </si>
  <si>
    <t>Nikolayev and Chelishcheva (1938)</t>
  </si>
  <si>
    <t>No synthesis reported (Behm and Baerlocher 1985)</t>
  </si>
  <si>
    <t>Behm and Baerlocher (1985); Kampf and Favreau (2004)</t>
  </si>
  <si>
    <t>Michel-Lévy (1949); Foord et al. (1981); Sokolova et al. (1987)</t>
  </si>
  <si>
    <t>compare kotoite</t>
  </si>
  <si>
    <t>compare jimboite</t>
  </si>
  <si>
    <t>van't Hoff (1902); Mellor (1924, p. 99)</t>
  </si>
  <si>
    <t>complex isomorphous series with hyalotekite</t>
  </si>
  <si>
    <t xml:space="preserve">Schaller (1930); Palache et al. (1951); Bowser (1965) </t>
  </si>
  <si>
    <t>anhydrous B analogue of tetragonal pollucite</t>
  </si>
  <si>
    <t>No synthesis of the ordered phase reported (Richerson and Hummel 1972; Bubnova et al. 2004; Derkacheva et al. 2011; Krzhizhanovskaya et al. 2014)</t>
  </si>
  <si>
    <t>No synthesis reported (Francesco Demartin, personal communication, August 31, 2015)</t>
  </si>
  <si>
    <t xml:space="preserve">Schreyer and Seifert (1969); Seifert (1975); Werding and Schreyer (1978) </t>
  </si>
  <si>
    <t>Ebelmen (1951) cited by Mellor (1929, p. 114-115) and Grigor'yev and Nekrasov (1963)</t>
  </si>
  <si>
    <t>Mellor (1929, p. 140); Heide et al. (1961); Nelmes (1974); Zeng and Liou (1982)</t>
  </si>
  <si>
    <t>Mellor (1929, p. 126); Carobbi (1933); Palache et al. (1951)</t>
  </si>
  <si>
    <t>Rosenberg and Foit (1979)</t>
  </si>
  <si>
    <t xml:space="preserve">Levin and Ugrinic (1953); Saradhi et al. (2010); Gorelova et al. (2015) </t>
  </si>
  <si>
    <t>Chelishcheva (1940); Nikolayev and Chelishcheva (1940); Schaller et al. (1965)</t>
  </si>
  <si>
    <t>Kracek et al. (1938); Lobanova and Avrova (1964)</t>
  </si>
  <si>
    <t>Meyerhoffer and van't Hoff (1907); Schaller (1914, 1916)</t>
  </si>
  <si>
    <t>Taramellite group</t>
  </si>
  <si>
    <t xml:space="preserve">Meyerhoffer and van't Hoff (1907); Chelishcheva (1940); Nikolayev and Chelishcheva (1940); Erd et al (1961a) </t>
  </si>
  <si>
    <t>isostructural with dolomite and nordenskiöldine</t>
  </si>
  <si>
    <t>isostructural with dolomite and tusionite</t>
  </si>
  <si>
    <t>Bauer (1962); Tarney et al. (1973); Matsubara et al. (1998)</t>
  </si>
  <si>
    <t>Rosenberg et al. (1986); Werding and Schreyer (1996); London (2011)</t>
  </si>
  <si>
    <t>No synthesis reported (Biagioni et al. 2012)</t>
  </si>
  <si>
    <t xml:space="preserve">Yu et al. (2014) </t>
  </si>
  <si>
    <t>Grigoriev and Brovkin (1969); Schreyer et al. (2003)</t>
  </si>
  <si>
    <t>van't Hoff (1907); Schaller (1930, p. 145-146 under "kramerite")</t>
  </si>
  <si>
    <t>Werding and Schreyer (1996); Schreyer et al. (1998)</t>
  </si>
  <si>
    <r>
      <t>Martinez-Ripoll et al. (1971); Schl</t>
    </r>
    <r>
      <rPr>
        <sz val="10"/>
        <rFont val="Calibri"/>
        <family val="2"/>
      </rPr>
      <t>ü</t>
    </r>
    <r>
      <rPr>
        <sz val="10"/>
        <rFont val="Arial"/>
      </rPr>
      <t>ter et al. (2008)</t>
    </r>
  </si>
  <si>
    <t>Series with santite</t>
  </si>
  <si>
    <t>Mellor (1929, p. 76); Cipriani (1957)</t>
  </si>
  <si>
    <t>Heyns et al. (1990)</t>
  </si>
  <si>
    <t>Reported syntheses not confirmed (London 2011); all but one Li-rich tourmalines are rossmanite; single potential elbaite needs confirmation (Guttery 2012, no. ElbK 23, Table 6)</t>
  </si>
  <si>
    <t>series with sussexite</t>
  </si>
  <si>
    <t>Mellor (1929, p. 97); Nekrasov et al. (1970, p. 41)</t>
  </si>
  <si>
    <t>B-296</t>
  </si>
  <si>
    <r>
      <t>Unnamed CO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>-rich charlesite</t>
    </r>
  </si>
  <si>
    <t>Ca3Al(CO3,SO4)[B(OH)4]0.5(OH,O)6·13H2O</t>
  </si>
  <si>
    <t>Kusachi et al. 2008)</t>
  </si>
  <si>
    <t>Gale et al. (1939); Palache et al. 1951)</t>
  </si>
  <si>
    <t xml:space="preserve">Mellor (1929, p. 93-94); Palache et al. (1951) </t>
  </si>
  <si>
    <t>No synthesis reported  (von Goerne and Franz 2000; London 2011)</t>
  </si>
  <si>
    <t xml:space="preserve">Nekrasov et al. (1970, p. 138); Nekrasov (1973); Malinko and Dubinchuk (1996); Dimitrova et al. (2004); </t>
  </si>
  <si>
    <t>dimorph of metaborite</t>
  </si>
  <si>
    <t>Bertaut (1950a,b); Grigor'yev and Nekrasov (1963)</t>
  </si>
  <si>
    <t>Series with yuanfuliite</t>
  </si>
  <si>
    <t>Series with warwickite</t>
  </si>
  <si>
    <t>Vesuvianite group</t>
  </si>
  <si>
    <t>Series with ramanite-(Rb)</t>
  </si>
  <si>
    <t>Bertaut (1950); Kawano and Yamane (2011)</t>
  </si>
  <si>
    <t>Verstegen et al. (1972); Baylor and Brown (1976); Berger and Range (1996)</t>
  </si>
  <si>
    <t>Zachariasen (1937); Cook and Jaffe (1957); Merlino and Sartori (1970); Touboul et al. (2003)</t>
  </si>
  <si>
    <t>Isostructural with ramanite-(Rb) and santite</t>
  </si>
  <si>
    <t>Becker et al. (2000); Touboul et al. (2003)</t>
  </si>
  <si>
    <t>Heinrich (1946); Spiryagina (1949); Schaller and Mrose (1960); Yuan et al. (1983)</t>
  </si>
  <si>
    <t xml:space="preserve">Malinko and Lisitsyn (1961) </t>
  </si>
  <si>
    <t>Jakob (1923); Sanero and Gottardi (1968)</t>
  </si>
  <si>
    <t>Ouvrard (1906); Diman and Nekrasov (1965); Rudnev (1998)</t>
  </si>
  <si>
    <r>
      <t>Diman and Nekrasov (1965); Aléonard and Vicat (1966); Vicat and Al</t>
    </r>
    <r>
      <rPr>
        <sz val="10"/>
        <rFont val="Calibri"/>
        <family val="2"/>
      </rPr>
      <t>é</t>
    </r>
    <r>
      <rPr>
        <sz val="10"/>
        <rFont val="Arial"/>
      </rPr>
      <t>onard (1968)</t>
    </r>
  </si>
  <si>
    <t>Oxy-foitite</t>
  </si>
  <si>
    <t>Percentage</t>
  </si>
  <si>
    <r>
      <rPr>
        <sz val="10"/>
        <rFont val="Calibri"/>
        <family val="2"/>
      </rPr>
      <t>□</t>
    </r>
    <r>
      <rPr>
        <sz val="10"/>
        <rFont val="Arial"/>
      </rPr>
      <t> (MgAl2)Al6(Si6O18)(BO3)3(OH)3O</t>
    </r>
  </si>
  <si>
    <t>Guttery (2012, several compositions in Table 6); Kutzschbach et al. (2017)</t>
  </si>
  <si>
    <t>Localities (2017)</t>
  </si>
  <si>
    <t>Table 1. List of boron minerals (as of February, 2017), formulas, supergroup or group, date of discovery and size</t>
  </si>
  <si>
    <r>
      <t>Table 2. List of boron minerals (as of February, 2017) and synthetic analogues (see also Table 4 for minerals in the CaO-B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-H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 system)</t>
    </r>
  </si>
  <si>
    <t>Red font: unnamed mineral, 15th, 19th locality, and second locality omitted from modeling</t>
  </si>
  <si>
    <t>American Mineralogist: August 2017 Deposit AM-17-85897</t>
  </si>
  <si>
    <t>GREW ET AL.: COUNTING BORON MINERALS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</si>
</sst>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333333"/>
      <name val="Arial"/>
      <family val="2"/>
    </font>
    <font>
      <sz val="8"/>
      <name val="Verdana"/>
      <family val="2"/>
    </font>
    <font>
      <vertAlign val="subscript"/>
      <sz val="10"/>
      <name val="Arial"/>
      <family val="2"/>
    </font>
    <font>
      <sz val="10"/>
      <name val="Calibri"/>
      <family val="2"/>
    </font>
    <font>
      <b/>
      <sz val="10"/>
      <color rgb="FF333333"/>
      <name val="Calibri"/>
      <family val="2"/>
    </font>
    <font>
      <vertAlign val="superscript"/>
      <sz val="8"/>
      <name val="Verdana"/>
      <family val="2"/>
    </font>
    <font>
      <sz val="5"/>
      <name val="Arial"/>
      <family val="2"/>
    </font>
    <font>
      <sz val="10"/>
      <name val="Cambria"/>
      <family val="1"/>
    </font>
    <font>
      <sz val="10"/>
      <color rgb="FF333333"/>
      <name val="Arial"/>
      <family val="2"/>
    </font>
    <font>
      <vertAlign val="superscript"/>
      <sz val="10"/>
      <name val="Arial"/>
      <family val="2"/>
    </font>
    <font>
      <sz val="10"/>
      <color rgb="FF333333"/>
      <name val="Calibri"/>
      <family val="2"/>
    </font>
    <font>
      <b/>
      <sz val="12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i/>
      <sz val="10"/>
      <name val="Arial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i/>
      <sz val="10"/>
      <color rgb="FF333333"/>
      <name val="Arial"/>
      <family val="2"/>
    </font>
    <font>
      <vertAlign val="subscript"/>
      <sz val="10"/>
      <color rgb="FF333333"/>
      <name val="Arial"/>
      <family val="2"/>
    </font>
    <font>
      <b/>
      <sz val="10"/>
      <color theme="1"/>
      <name val="Arial"/>
      <family val="2"/>
    </font>
    <font>
      <b/>
      <vertAlign val="subscript"/>
      <sz val="12"/>
      <name val="Times New Roman"/>
      <family val="1"/>
    </font>
    <font>
      <b/>
      <vertAlign val="subscript"/>
      <sz val="10"/>
      <name val="Arial"/>
      <family val="2"/>
    </font>
    <font>
      <sz val="10"/>
      <name val="Arial"/>
      <family val="2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33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0" xfId="0" applyFont="1" applyFill="1"/>
    <xf numFmtId="0" fontId="5" fillId="0" borderId="0" xfId="0" applyFont="1" applyFill="1"/>
    <xf numFmtId="0" fontId="5" fillId="0" borderId="0" xfId="0" applyFont="1"/>
    <xf numFmtId="0" fontId="2" fillId="0" borderId="0" xfId="0" applyFont="1" applyFill="1" applyBorder="1"/>
    <xf numFmtId="0" fontId="0" fillId="0" borderId="0" xfId="0" applyFill="1" applyAlignment="1">
      <alignment horizontal="left" vertical="center"/>
    </xf>
    <xf numFmtId="0" fontId="7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10" fillId="0" borderId="0" xfId="0" applyFont="1" applyFill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3" fillId="0" borderId="0" xfId="0" applyFont="1" applyFill="1" applyBorder="1"/>
    <xf numFmtId="0" fontId="4" fillId="0" borderId="0" xfId="0" applyFont="1" applyFill="1" applyAlignment="1">
      <alignment horizontal="center" vertical="center"/>
    </xf>
    <xf numFmtId="11" fontId="0" fillId="0" borderId="0" xfId="0" applyNumberForma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11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1" fontId="22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1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/>
    </xf>
    <xf numFmtId="9" fontId="2" fillId="0" borderId="0" xfId="2" applyFont="1" applyFill="1" applyAlignment="1">
      <alignment horizontal="center"/>
    </xf>
    <xf numFmtId="0" fontId="18" fillId="0" borderId="0" xfId="0" applyFont="1" applyFill="1" applyAlignment="1">
      <alignment vertical="center"/>
    </xf>
    <xf numFmtId="0" fontId="10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10" fillId="0" borderId="0" xfId="0" applyFont="1" applyFill="1" applyBorder="1" applyAlignment="1">
      <alignment horizontal="center" vertical="center"/>
    </xf>
    <xf numFmtId="1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2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7" fillId="0" borderId="0" xfId="0" applyFont="1" applyFill="1"/>
    <xf numFmtId="0" fontId="34" fillId="0" borderId="0" xfId="0" applyFont="1" applyAlignment="1">
      <alignment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mruColors>
      <color rgb="FF99FF99"/>
      <color rgb="FFFFFFFF"/>
      <color rgb="FFCC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349"/>
  <sheetViews>
    <sheetView tabSelected="1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3" sqref="A3"/>
    </sheetView>
  </sheetViews>
  <sheetFormatPr baseColWidth="10" defaultColWidth="8.83203125" defaultRowHeight="13" x14ac:dyDescent="0.15"/>
  <cols>
    <col min="1" max="1" width="8.83203125" style="3"/>
    <col min="2" max="2" width="45.5" style="14" customWidth="1"/>
    <col min="3" max="3" width="67.6640625" style="3" customWidth="1"/>
    <col min="4" max="4" width="18.6640625" style="2" customWidth="1"/>
    <col min="5" max="5" width="39.83203125" style="9" customWidth="1"/>
    <col min="6" max="6" width="22.1640625" style="10" customWidth="1"/>
    <col min="7" max="7" width="24.5" style="9" customWidth="1"/>
    <col min="8" max="8" width="33.1640625" style="3" customWidth="1"/>
    <col min="9" max="9" width="36.33203125" style="3" customWidth="1"/>
    <col min="10" max="10" width="11.33203125" style="3" customWidth="1"/>
    <col min="11" max="33" width="8.83203125" style="3"/>
  </cols>
  <sheetData>
    <row r="1" spans="1:33" ht="16" x14ac:dyDescent="0.15">
      <c r="A1" s="77" t="s">
        <v>1630</v>
      </c>
    </row>
    <row r="2" spans="1:33" ht="16" x14ac:dyDescent="0.15">
      <c r="A2" s="77" t="s">
        <v>1631</v>
      </c>
    </row>
    <row r="3" spans="1:33" ht="16" x14ac:dyDescent="0.15">
      <c r="A3" s="59" t="s">
        <v>1627</v>
      </c>
    </row>
    <row r="4" spans="1:33" s="26" customFormat="1" x14ac:dyDescent="0.15">
      <c r="A4" s="14" t="s">
        <v>907</v>
      </c>
      <c r="B4" s="27" t="s">
        <v>895</v>
      </c>
      <c r="C4" s="27" t="s">
        <v>896</v>
      </c>
      <c r="D4" s="27" t="s">
        <v>906</v>
      </c>
      <c r="E4" s="39" t="s">
        <v>494</v>
      </c>
      <c r="F4" s="39" t="s">
        <v>1207</v>
      </c>
      <c r="G4" s="39" t="s">
        <v>1626</v>
      </c>
      <c r="H4" s="27" t="s">
        <v>1210</v>
      </c>
      <c r="I4" s="42" t="s">
        <v>1209</v>
      </c>
      <c r="J4" s="42" t="s">
        <v>1115</v>
      </c>
      <c r="K4" s="18" t="s">
        <v>1366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</row>
    <row r="5" spans="1:33" s="21" customFormat="1" ht="15.75" customHeight="1" x14ac:dyDescent="0.15">
      <c r="A5" s="12" t="s">
        <v>37</v>
      </c>
      <c r="B5" s="20" t="s">
        <v>487</v>
      </c>
      <c r="C5" s="12" t="s">
        <v>496</v>
      </c>
      <c r="D5" s="31" t="s">
        <v>839</v>
      </c>
      <c r="E5" s="30" t="s">
        <v>495</v>
      </c>
      <c r="F5" s="63" t="s">
        <v>877</v>
      </c>
      <c r="G5" s="39">
        <v>1</v>
      </c>
      <c r="H5" s="46">
        <v>2014</v>
      </c>
      <c r="I5" s="10" t="s">
        <v>939</v>
      </c>
      <c r="J5" s="43">
        <f>20*5*5</f>
        <v>500</v>
      </c>
      <c r="K5" s="9" t="s">
        <v>940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s="21" customFormat="1" ht="15.75" customHeight="1" x14ac:dyDescent="0.15">
      <c r="A6" s="12" t="s">
        <v>38</v>
      </c>
      <c r="B6" s="20" t="s">
        <v>488</v>
      </c>
      <c r="C6" s="9" t="s">
        <v>497</v>
      </c>
      <c r="D6" s="13" t="s">
        <v>840</v>
      </c>
      <c r="E6" s="9"/>
      <c r="F6" s="63" t="s">
        <v>877</v>
      </c>
      <c r="G6" s="39">
        <v>1</v>
      </c>
      <c r="H6" s="10">
        <v>1979</v>
      </c>
      <c r="I6" s="13" t="s">
        <v>1505</v>
      </c>
      <c r="J6" s="43">
        <f>0.3*0.2*0.2</f>
        <v>1.2E-2</v>
      </c>
      <c r="K6" s="12" t="s">
        <v>1506</v>
      </c>
      <c r="L6" s="9"/>
      <c r="M6" s="9"/>
      <c r="N6" s="9"/>
      <c r="O6"/>
      <c r="P6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s="21" customFormat="1" ht="15.75" customHeight="1" x14ac:dyDescent="0.15">
      <c r="A7" s="12" t="s">
        <v>39</v>
      </c>
      <c r="B7" s="20" t="s">
        <v>9</v>
      </c>
      <c r="C7" s="12" t="s">
        <v>498</v>
      </c>
      <c r="D7" s="13" t="s">
        <v>840</v>
      </c>
      <c r="E7" s="9"/>
      <c r="F7" s="42">
        <v>1</v>
      </c>
      <c r="G7" s="39">
        <v>1</v>
      </c>
      <c r="H7" s="10">
        <v>1962</v>
      </c>
      <c r="I7" s="10" t="s">
        <v>941</v>
      </c>
      <c r="J7" s="43">
        <f>7*4*3.5</f>
        <v>98</v>
      </c>
      <c r="K7" s="9" t="s">
        <v>500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s="21" customFormat="1" ht="15.75" customHeight="1" x14ac:dyDescent="0.15">
      <c r="A8" s="12" t="s">
        <v>40</v>
      </c>
      <c r="B8" s="20" t="s">
        <v>489</v>
      </c>
      <c r="C8" s="9" t="s">
        <v>499</v>
      </c>
      <c r="D8" s="13" t="s">
        <v>840</v>
      </c>
      <c r="E8" s="12"/>
      <c r="F8" s="63" t="s">
        <v>877</v>
      </c>
      <c r="G8" s="39">
        <v>1</v>
      </c>
      <c r="H8" s="10">
        <v>2010</v>
      </c>
      <c r="I8" s="44" t="s">
        <v>942</v>
      </c>
      <c r="J8" s="43">
        <f>5*0.03*0.03</f>
        <v>4.4999999999999997E-3</v>
      </c>
      <c r="K8" s="9" t="s">
        <v>24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33" s="21" customFormat="1" ht="15.75" customHeight="1" x14ac:dyDescent="0.15">
      <c r="A9" s="12" t="s">
        <v>41</v>
      </c>
      <c r="B9" s="20" t="s">
        <v>490</v>
      </c>
      <c r="C9" s="9" t="s">
        <v>501</v>
      </c>
      <c r="D9" s="13" t="s">
        <v>840</v>
      </c>
      <c r="E9" s="32" t="s">
        <v>512</v>
      </c>
      <c r="F9" s="63" t="s">
        <v>877</v>
      </c>
      <c r="G9" s="39">
        <v>3</v>
      </c>
      <c r="H9" s="10">
        <v>2004</v>
      </c>
      <c r="I9" s="44" t="s">
        <v>943</v>
      </c>
      <c r="J9" s="43">
        <f>0.09*0.05*0.05</f>
        <v>2.2499999999999999E-4</v>
      </c>
      <c r="K9" s="9" t="s">
        <v>848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33" s="21" customFormat="1" ht="15.75" customHeight="1" x14ac:dyDescent="0.15">
      <c r="A10" s="12" t="s">
        <v>42</v>
      </c>
      <c r="B10" s="20" t="s">
        <v>491</v>
      </c>
      <c r="C10" s="9" t="s">
        <v>502</v>
      </c>
      <c r="D10" s="13" t="s">
        <v>840</v>
      </c>
      <c r="E10" s="9"/>
      <c r="F10" s="42">
        <v>1</v>
      </c>
      <c r="G10" s="39">
        <v>1</v>
      </c>
      <c r="H10" s="10">
        <v>1967</v>
      </c>
      <c r="I10" s="10" t="s">
        <v>944</v>
      </c>
      <c r="J10" s="43">
        <f>5*2.5*1.25</f>
        <v>15.625</v>
      </c>
      <c r="K10" s="9" t="s">
        <v>945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33" s="21" customFormat="1" ht="15.75" customHeight="1" x14ac:dyDescent="0.15">
      <c r="A11" s="12" t="s">
        <v>43</v>
      </c>
      <c r="B11" s="20" t="s">
        <v>492</v>
      </c>
      <c r="C11" s="19" t="s">
        <v>503</v>
      </c>
      <c r="D11" s="13" t="s">
        <v>840</v>
      </c>
      <c r="E11" s="9"/>
      <c r="F11" s="42">
        <v>1</v>
      </c>
      <c r="G11" s="39">
        <v>1</v>
      </c>
      <c r="H11" s="10">
        <v>1933</v>
      </c>
      <c r="I11" s="10" t="s">
        <v>946</v>
      </c>
      <c r="J11" s="43">
        <f>0.08*0.04*0.04</f>
        <v>1.2800000000000002E-4</v>
      </c>
      <c r="K11" s="9" t="s">
        <v>504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 s="21" customFormat="1" ht="15.75" customHeight="1" x14ac:dyDescent="0.15">
      <c r="A12" s="12" t="s">
        <v>44</v>
      </c>
      <c r="B12" s="20" t="s">
        <v>493</v>
      </c>
      <c r="C12" s="9" t="s">
        <v>505</v>
      </c>
      <c r="D12" s="13" t="s">
        <v>840</v>
      </c>
      <c r="E12" s="9"/>
      <c r="F12" s="42">
        <v>1</v>
      </c>
      <c r="G12" s="39">
        <v>3</v>
      </c>
      <c r="H12" s="10">
        <v>1974</v>
      </c>
      <c r="I12" s="10" t="s">
        <v>947</v>
      </c>
      <c r="J12" s="43">
        <f>0.4*0.4*0.1</f>
        <v>1.6000000000000004E-2</v>
      </c>
      <c r="K12" s="9" t="s">
        <v>948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33" s="21" customFormat="1" ht="15.75" customHeight="1" x14ac:dyDescent="0.15">
      <c r="A13" s="12" t="s">
        <v>45</v>
      </c>
      <c r="B13" s="20" t="s">
        <v>306</v>
      </c>
      <c r="C13" s="12" t="s">
        <v>506</v>
      </c>
      <c r="D13" s="13" t="s">
        <v>841</v>
      </c>
      <c r="E13" s="33"/>
      <c r="F13" s="42">
        <v>1</v>
      </c>
      <c r="G13" s="39">
        <v>5</v>
      </c>
      <c r="H13" s="10">
        <v>1926</v>
      </c>
      <c r="I13" s="10" t="s">
        <v>949</v>
      </c>
      <c r="J13" s="43">
        <f>0.5*0.5*0.5</f>
        <v>0.125</v>
      </c>
      <c r="K13" s="9" t="s">
        <v>1389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21" customFormat="1" ht="15.75" customHeight="1" x14ac:dyDescent="0.15">
      <c r="A14" s="12" t="s">
        <v>46</v>
      </c>
      <c r="B14" s="20" t="s">
        <v>1297</v>
      </c>
      <c r="C14" s="9" t="s">
        <v>507</v>
      </c>
      <c r="D14" s="13" t="s">
        <v>839</v>
      </c>
      <c r="E14" s="32" t="s">
        <v>513</v>
      </c>
      <c r="F14" s="64">
        <v>124</v>
      </c>
      <c r="G14" s="65">
        <v>247</v>
      </c>
      <c r="H14" s="10">
        <v>1801</v>
      </c>
      <c r="I14" s="10" t="s">
        <v>950</v>
      </c>
      <c r="J14" s="43">
        <f>30*30*30</f>
        <v>27000</v>
      </c>
      <c r="K14" s="9" t="s">
        <v>951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s="21" customFormat="1" ht="15.75" customHeight="1" x14ac:dyDescent="0.15">
      <c r="A15" s="12" t="s">
        <v>47</v>
      </c>
      <c r="B15" s="20" t="s">
        <v>1298</v>
      </c>
      <c r="C15" s="12" t="s">
        <v>509</v>
      </c>
      <c r="D15" s="13" t="s">
        <v>839</v>
      </c>
      <c r="E15" s="30" t="s">
        <v>513</v>
      </c>
      <c r="F15" s="66">
        <v>4</v>
      </c>
      <c r="G15" s="39">
        <v>9</v>
      </c>
      <c r="H15" s="10">
        <v>1975</v>
      </c>
      <c r="I15" s="13" t="s">
        <v>1116</v>
      </c>
      <c r="J15" s="43">
        <f>0.1577/3.178*1000</f>
        <v>49.622404027690372</v>
      </c>
      <c r="K15" s="9" t="s">
        <v>1390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33" s="21" customFormat="1" ht="15.75" customHeight="1" x14ac:dyDescent="0.15">
      <c r="A16" s="12" t="s">
        <v>48</v>
      </c>
      <c r="B16" s="20" t="s">
        <v>1299</v>
      </c>
      <c r="C16" s="12" t="s">
        <v>508</v>
      </c>
      <c r="D16" s="13" t="s">
        <v>839</v>
      </c>
      <c r="E16" s="30" t="s">
        <v>513</v>
      </c>
      <c r="F16" s="64">
        <v>39</v>
      </c>
      <c r="G16" s="65">
        <v>78</v>
      </c>
      <c r="H16" s="10">
        <v>1909</v>
      </c>
      <c r="I16" s="34" t="s">
        <v>1001</v>
      </c>
      <c r="J16" s="34" t="s">
        <v>1001</v>
      </c>
      <c r="K16" s="45" t="s">
        <v>952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s="21" customFormat="1" ht="15.75" customHeight="1" x14ac:dyDescent="0.15">
      <c r="A17" s="12" t="s">
        <v>49</v>
      </c>
      <c r="B17" s="20" t="s">
        <v>13</v>
      </c>
      <c r="C17" s="9" t="s">
        <v>510</v>
      </c>
      <c r="D17" s="13" t="s">
        <v>840</v>
      </c>
      <c r="E17" s="32" t="s">
        <v>511</v>
      </c>
      <c r="F17" s="42">
        <v>1</v>
      </c>
      <c r="G17" s="39">
        <v>5</v>
      </c>
      <c r="H17" s="10">
        <v>1970</v>
      </c>
      <c r="I17" s="10" t="s">
        <v>953</v>
      </c>
      <c r="J17" s="43">
        <f>20*5*5</f>
        <v>500</v>
      </c>
      <c r="K17" s="9" t="s">
        <v>954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s="21" customFormat="1" ht="15.75" customHeight="1" x14ac:dyDescent="0.2">
      <c r="A18" s="60" t="s">
        <v>877</v>
      </c>
      <c r="B18" s="23" t="s">
        <v>1372</v>
      </c>
      <c r="C18" s="9" t="s">
        <v>516</v>
      </c>
      <c r="D18" s="13" t="s">
        <v>839</v>
      </c>
      <c r="E18" s="30" t="s">
        <v>1550</v>
      </c>
      <c r="F18" s="63" t="s">
        <v>877</v>
      </c>
      <c r="G18" s="63" t="s">
        <v>877</v>
      </c>
      <c r="H18" s="10">
        <v>1903</v>
      </c>
      <c r="I18" s="44" t="s">
        <v>955</v>
      </c>
      <c r="J18" s="43">
        <f>0.001*0.001*0.001</f>
        <v>1.0000000000000001E-9</v>
      </c>
      <c r="K18" s="12" t="s">
        <v>1391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s="21" customFormat="1" ht="15.75" customHeight="1" x14ac:dyDescent="0.15">
      <c r="A19" s="12" t="s">
        <v>50</v>
      </c>
      <c r="B19" s="20" t="s">
        <v>307</v>
      </c>
      <c r="C19" s="9" t="s">
        <v>517</v>
      </c>
      <c r="D19" s="13" t="s">
        <v>840</v>
      </c>
      <c r="E19" s="9"/>
      <c r="F19" s="42">
        <v>1</v>
      </c>
      <c r="G19" s="39">
        <v>2</v>
      </c>
      <c r="H19" s="46">
        <v>1938</v>
      </c>
      <c r="I19" s="34" t="s">
        <v>1001</v>
      </c>
      <c r="J19" s="34" t="s">
        <v>1001</v>
      </c>
      <c r="K19" s="9" t="s">
        <v>1392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</row>
    <row r="20" spans="1:33" s="21" customFormat="1" ht="15.75" customHeight="1" x14ac:dyDescent="0.15">
      <c r="A20" s="12" t="s">
        <v>51</v>
      </c>
      <c r="B20" s="20" t="s">
        <v>308</v>
      </c>
      <c r="C20" s="9" t="s">
        <v>518</v>
      </c>
      <c r="D20" s="13" t="s">
        <v>841</v>
      </c>
      <c r="E20" s="9"/>
      <c r="F20" s="40" t="s">
        <v>877</v>
      </c>
      <c r="G20" s="39">
        <v>1</v>
      </c>
      <c r="H20" s="10">
        <v>1994</v>
      </c>
      <c r="I20" s="44" t="s">
        <v>1393</v>
      </c>
      <c r="J20" s="43">
        <f>0.3*0.001*0.001</f>
        <v>2.9999999999999999E-7</v>
      </c>
      <c r="K20" s="9" t="s">
        <v>956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33" s="21" customFormat="1" ht="15.75" customHeight="1" x14ac:dyDescent="0.15">
      <c r="A21" s="12" t="s">
        <v>52</v>
      </c>
      <c r="B21" s="20" t="s">
        <v>1156</v>
      </c>
      <c r="C21" s="28" t="s">
        <v>519</v>
      </c>
      <c r="D21" s="13" t="s">
        <v>840</v>
      </c>
      <c r="E21" s="9"/>
      <c r="F21" s="42">
        <v>1</v>
      </c>
      <c r="G21" s="39">
        <v>3</v>
      </c>
      <c r="H21" s="10">
        <v>1961</v>
      </c>
      <c r="I21" s="10" t="s">
        <v>957</v>
      </c>
      <c r="J21" s="43">
        <f>7*7*7</f>
        <v>343</v>
      </c>
      <c r="K21" s="9" t="s">
        <v>958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s="21" customFormat="1" ht="15.75" customHeight="1" x14ac:dyDescent="0.15">
      <c r="A22" s="12" t="s">
        <v>53</v>
      </c>
      <c r="B22" s="20" t="s">
        <v>923</v>
      </c>
      <c r="C22" s="61" t="s">
        <v>520</v>
      </c>
      <c r="D22" s="52" t="s">
        <v>840</v>
      </c>
      <c r="E22" s="9"/>
      <c r="F22" s="42">
        <v>2</v>
      </c>
      <c r="G22" s="39">
        <v>3</v>
      </c>
      <c r="H22" s="34">
        <v>1967</v>
      </c>
      <c r="I22" s="10" t="s">
        <v>949</v>
      </c>
      <c r="J22" s="43">
        <f>0.5*0.5*0.5</f>
        <v>0.125</v>
      </c>
      <c r="K22" s="9" t="s">
        <v>838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s="21" customFormat="1" ht="15.75" customHeight="1" x14ac:dyDescent="0.15">
      <c r="A23" s="12" t="s">
        <v>54</v>
      </c>
      <c r="B23" s="20" t="s">
        <v>309</v>
      </c>
      <c r="C23" s="9" t="s">
        <v>524</v>
      </c>
      <c r="D23" s="13" t="s">
        <v>840</v>
      </c>
      <c r="E23" s="9"/>
      <c r="F23" s="42">
        <v>1</v>
      </c>
      <c r="G23" s="39">
        <v>1</v>
      </c>
      <c r="H23" s="6">
        <v>1961</v>
      </c>
      <c r="I23" s="10" t="s">
        <v>1394</v>
      </c>
      <c r="J23" s="43">
        <f>2*0.4*0.4</f>
        <v>0.32000000000000006</v>
      </c>
      <c r="K23" s="45" t="s">
        <v>1438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s="21" customFormat="1" ht="15.75" customHeight="1" x14ac:dyDescent="0.15">
      <c r="A24" s="12" t="s">
        <v>55</v>
      </c>
      <c r="B24" s="20" t="s">
        <v>310</v>
      </c>
      <c r="C24" s="9" t="s">
        <v>525</v>
      </c>
      <c r="D24" s="13" t="s">
        <v>840</v>
      </c>
      <c r="E24" s="32" t="s">
        <v>526</v>
      </c>
      <c r="F24" s="40" t="s">
        <v>877</v>
      </c>
      <c r="G24" s="39">
        <v>1</v>
      </c>
      <c r="H24" s="10">
        <v>1988</v>
      </c>
      <c r="I24" s="10" t="s">
        <v>959</v>
      </c>
      <c r="J24" s="43">
        <v>5</v>
      </c>
      <c r="K24" s="9" t="s">
        <v>1395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s="21" customFormat="1" ht="15.75" customHeight="1" x14ac:dyDescent="0.15">
      <c r="A25" s="12" t="s">
        <v>56</v>
      </c>
      <c r="B25" s="20" t="s">
        <v>311</v>
      </c>
      <c r="C25" s="9" t="s">
        <v>527</v>
      </c>
      <c r="D25" s="13" t="s">
        <v>839</v>
      </c>
      <c r="E25" s="9"/>
      <c r="F25" s="40" t="s">
        <v>877</v>
      </c>
      <c r="G25" s="39">
        <v>1</v>
      </c>
      <c r="H25" s="10">
        <v>2005</v>
      </c>
      <c r="I25" s="10" t="s">
        <v>960</v>
      </c>
      <c r="J25" s="43">
        <f>2*0.5*0.5</f>
        <v>0.5</v>
      </c>
      <c r="K25" s="9" t="s">
        <v>528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s="21" customFormat="1" ht="15.75" customHeight="1" x14ac:dyDescent="0.15">
      <c r="A26" s="12" t="s">
        <v>57</v>
      </c>
      <c r="B26" s="20" t="s">
        <v>1</v>
      </c>
      <c r="C26" s="9" t="s">
        <v>529</v>
      </c>
      <c r="D26" s="13" t="s">
        <v>840</v>
      </c>
      <c r="E26" s="32" t="s">
        <v>511</v>
      </c>
      <c r="F26" s="42">
        <v>1</v>
      </c>
      <c r="G26" s="39">
        <v>1</v>
      </c>
      <c r="H26" s="10">
        <v>1974</v>
      </c>
      <c r="I26" s="44" t="s">
        <v>1396</v>
      </c>
      <c r="J26" s="43">
        <f>0.4*0.03*0.03</f>
        <v>3.5999999999999997E-4</v>
      </c>
      <c r="K26" s="9" t="s">
        <v>1397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s="21" customFormat="1" ht="15.75" customHeight="1" x14ac:dyDescent="0.15">
      <c r="A27" s="12" t="s">
        <v>58</v>
      </c>
      <c r="B27" s="20" t="s">
        <v>312</v>
      </c>
      <c r="C27" s="9" t="s">
        <v>530</v>
      </c>
      <c r="D27" s="13" t="s">
        <v>840</v>
      </c>
      <c r="E27" s="32" t="s">
        <v>514</v>
      </c>
      <c r="F27" s="64">
        <v>26</v>
      </c>
      <c r="G27" s="65">
        <v>51</v>
      </c>
      <c r="H27" s="10">
        <v>1789</v>
      </c>
      <c r="I27" s="34" t="s">
        <v>1001</v>
      </c>
      <c r="J27" s="34" t="s">
        <v>1001</v>
      </c>
      <c r="K27" s="45" t="s">
        <v>1118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s="21" customFormat="1" ht="15.75" customHeight="1" x14ac:dyDescent="0.15">
      <c r="A28" s="12" t="s">
        <v>59</v>
      </c>
      <c r="B28" s="20" t="s">
        <v>313</v>
      </c>
      <c r="C28" s="9" t="s">
        <v>531</v>
      </c>
      <c r="D28" s="13" t="s">
        <v>840</v>
      </c>
      <c r="E28" s="9"/>
      <c r="F28" s="67" t="s">
        <v>877</v>
      </c>
      <c r="G28" s="39">
        <v>4</v>
      </c>
      <c r="H28" s="10">
        <v>1998</v>
      </c>
      <c r="I28" s="10" t="s">
        <v>961</v>
      </c>
      <c r="J28" s="43">
        <f>2*0.3*0.3</f>
        <v>0.18</v>
      </c>
      <c r="K28" s="12" t="s">
        <v>1117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5.75" customHeight="1" x14ac:dyDescent="0.15">
      <c r="A29" s="12" t="s">
        <v>60</v>
      </c>
      <c r="B29" s="20" t="s">
        <v>314</v>
      </c>
      <c r="C29" s="8" t="s">
        <v>532</v>
      </c>
      <c r="D29" s="6" t="s">
        <v>839</v>
      </c>
      <c r="E29" s="33"/>
      <c r="F29" s="64">
        <v>35</v>
      </c>
      <c r="G29" s="65">
        <v>70</v>
      </c>
      <c r="H29" s="34" t="s">
        <v>1001</v>
      </c>
      <c r="I29" s="34" t="s">
        <v>1001</v>
      </c>
      <c r="J29" s="34" t="s">
        <v>1001</v>
      </c>
      <c r="K29" s="9" t="s">
        <v>1398</v>
      </c>
    </row>
    <row r="30" spans="1:33" ht="15.75" customHeight="1" x14ac:dyDescent="0.15">
      <c r="A30" s="8" t="s">
        <v>61</v>
      </c>
      <c r="B30" s="20" t="s">
        <v>23</v>
      </c>
      <c r="C30" s="8" t="s">
        <v>533</v>
      </c>
      <c r="D30" s="6" t="s">
        <v>840</v>
      </c>
      <c r="E30" s="30" t="s">
        <v>1185</v>
      </c>
      <c r="F30" s="42">
        <v>4</v>
      </c>
      <c r="G30" s="39">
        <v>8</v>
      </c>
      <c r="H30" s="2">
        <v>1965</v>
      </c>
      <c r="I30" s="13" t="s">
        <v>1121</v>
      </c>
      <c r="J30" s="43">
        <f>3*3*3</f>
        <v>27</v>
      </c>
      <c r="K30" s="45" t="s">
        <v>1119</v>
      </c>
    </row>
    <row r="31" spans="1:33" ht="15.75" customHeight="1" x14ac:dyDescent="0.15">
      <c r="A31" s="8" t="s">
        <v>62</v>
      </c>
      <c r="B31" s="20" t="s">
        <v>315</v>
      </c>
      <c r="C31" s="3" t="s">
        <v>535</v>
      </c>
      <c r="D31" s="6" t="s">
        <v>839</v>
      </c>
      <c r="E31" s="32" t="s">
        <v>534</v>
      </c>
      <c r="F31" s="40" t="s">
        <v>877</v>
      </c>
      <c r="G31" s="39">
        <v>1</v>
      </c>
      <c r="H31" s="2">
        <v>2003</v>
      </c>
      <c r="I31" s="10" t="s">
        <v>963</v>
      </c>
      <c r="J31" s="43">
        <f>0.15*0.15*0.01</f>
        <v>2.2499999999999999E-4</v>
      </c>
      <c r="K31" s="9" t="s">
        <v>1399</v>
      </c>
    </row>
    <row r="32" spans="1:33" ht="15.75" customHeight="1" x14ac:dyDescent="0.15">
      <c r="A32" s="8" t="s">
        <v>63</v>
      </c>
      <c r="B32" s="20" t="s">
        <v>316</v>
      </c>
      <c r="C32" s="3" t="s">
        <v>536</v>
      </c>
      <c r="D32" s="6" t="s">
        <v>839</v>
      </c>
      <c r="F32" s="40" t="s">
        <v>877</v>
      </c>
      <c r="G32" s="39">
        <v>1</v>
      </c>
      <c r="H32" s="2">
        <v>2008</v>
      </c>
      <c r="I32" s="10" t="s">
        <v>964</v>
      </c>
      <c r="J32" s="43">
        <f>0.4*0.05*0.05</f>
        <v>1.0000000000000002E-3</v>
      </c>
      <c r="K32" s="9" t="s">
        <v>537</v>
      </c>
    </row>
    <row r="33" spans="1:11" ht="15.75" customHeight="1" x14ac:dyDescent="0.15">
      <c r="A33" s="8" t="s">
        <v>64</v>
      </c>
      <c r="B33" s="20" t="s">
        <v>938</v>
      </c>
      <c r="C33" s="3" t="s">
        <v>539</v>
      </c>
      <c r="D33" s="6" t="s">
        <v>839</v>
      </c>
      <c r="E33" s="32" t="s">
        <v>538</v>
      </c>
      <c r="F33" s="40" t="s">
        <v>877</v>
      </c>
      <c r="G33" s="39">
        <v>3</v>
      </c>
      <c r="H33" s="6">
        <v>1991</v>
      </c>
      <c r="I33" s="44" t="s">
        <v>965</v>
      </c>
      <c r="J33" s="10">
        <f>0.005*0.005*0.0015</f>
        <v>3.7500000000000005E-8</v>
      </c>
      <c r="K33" s="9" t="s">
        <v>966</v>
      </c>
    </row>
    <row r="34" spans="1:11" ht="15.75" customHeight="1" x14ac:dyDescent="0.15">
      <c r="A34" s="8" t="s">
        <v>65</v>
      </c>
      <c r="B34" s="20" t="s">
        <v>902</v>
      </c>
      <c r="C34" s="8" t="s">
        <v>903</v>
      </c>
      <c r="D34" s="6" t="s">
        <v>839</v>
      </c>
      <c r="E34" s="30" t="s">
        <v>495</v>
      </c>
      <c r="F34" s="40" t="s">
        <v>877</v>
      </c>
      <c r="G34" s="39">
        <v>2</v>
      </c>
      <c r="H34" s="2">
        <v>2015</v>
      </c>
      <c r="I34" s="13" t="s">
        <v>1400</v>
      </c>
      <c r="J34" s="43">
        <f>0.2*0.1*0.1</f>
        <v>2.0000000000000005E-3</v>
      </c>
      <c r="K34" s="45" t="s">
        <v>1401</v>
      </c>
    </row>
    <row r="35" spans="1:11" ht="15.75" customHeight="1" x14ac:dyDescent="0.15">
      <c r="A35" s="8" t="s">
        <v>66</v>
      </c>
      <c r="B35" s="20" t="s">
        <v>1296</v>
      </c>
      <c r="C35" s="3" t="s">
        <v>540</v>
      </c>
      <c r="D35" s="6" t="s">
        <v>840</v>
      </c>
      <c r="F35" s="42">
        <v>1</v>
      </c>
      <c r="G35" s="39">
        <v>1</v>
      </c>
      <c r="H35" s="2">
        <v>1968</v>
      </c>
      <c r="I35" s="44" t="s">
        <v>967</v>
      </c>
      <c r="J35" s="43">
        <f>0.07*0.07*0.009</f>
        <v>4.4100000000000001E-5</v>
      </c>
      <c r="K35" s="9" t="s">
        <v>847</v>
      </c>
    </row>
    <row r="36" spans="1:11" ht="15.75" customHeight="1" x14ac:dyDescent="0.15">
      <c r="A36" s="8" t="s">
        <v>67</v>
      </c>
      <c r="B36" s="20" t="s">
        <v>317</v>
      </c>
      <c r="C36" s="3" t="s">
        <v>541</v>
      </c>
      <c r="D36" s="6" t="s">
        <v>840</v>
      </c>
      <c r="F36" s="40" t="s">
        <v>877</v>
      </c>
      <c r="G36" s="39">
        <v>1</v>
      </c>
      <c r="H36" s="2">
        <v>1997</v>
      </c>
      <c r="I36" s="10" t="s">
        <v>968</v>
      </c>
      <c r="J36" s="43">
        <f>0.5*0.25*0.1</f>
        <v>1.2500000000000001E-2</v>
      </c>
      <c r="K36" s="19" t="s">
        <v>969</v>
      </c>
    </row>
    <row r="37" spans="1:11" ht="15.75" customHeight="1" x14ac:dyDescent="0.15">
      <c r="A37" s="8" t="s">
        <v>68</v>
      </c>
      <c r="B37" s="20" t="s">
        <v>318</v>
      </c>
      <c r="C37" s="9" t="s">
        <v>542</v>
      </c>
      <c r="D37" s="13" t="s">
        <v>839</v>
      </c>
      <c r="E37" s="9" t="s">
        <v>1359</v>
      </c>
      <c r="F37" s="40" t="s">
        <v>877</v>
      </c>
      <c r="G37" s="39">
        <v>2</v>
      </c>
      <c r="H37" s="2">
        <v>2007</v>
      </c>
      <c r="I37" s="10" t="s">
        <v>970</v>
      </c>
      <c r="J37" s="43">
        <f>0.5*0.5*0.2</f>
        <v>0.05</v>
      </c>
      <c r="K37" s="12" t="s">
        <v>1402</v>
      </c>
    </row>
    <row r="38" spans="1:11" ht="15.75" customHeight="1" x14ac:dyDescent="0.15">
      <c r="A38" s="8" t="s">
        <v>69</v>
      </c>
      <c r="B38" s="20" t="s">
        <v>319</v>
      </c>
      <c r="C38" s="3" t="s">
        <v>543</v>
      </c>
      <c r="D38" s="6" t="s">
        <v>842</v>
      </c>
      <c r="E38" s="32" t="s">
        <v>544</v>
      </c>
      <c r="F38" s="40" t="s">
        <v>877</v>
      </c>
      <c r="G38" s="39">
        <v>2</v>
      </c>
      <c r="H38" s="2">
        <v>2001</v>
      </c>
      <c r="I38" s="44" t="s">
        <v>971</v>
      </c>
      <c r="J38" s="43">
        <f>0.01*0.01*0.01</f>
        <v>1.0000000000000002E-6</v>
      </c>
      <c r="K38" s="9" t="s">
        <v>545</v>
      </c>
    </row>
    <row r="39" spans="1:11" ht="15.75" customHeight="1" x14ac:dyDescent="0.2">
      <c r="A39" s="8" t="s">
        <v>70</v>
      </c>
      <c r="B39" s="20" t="s">
        <v>320</v>
      </c>
      <c r="C39" s="3" t="s">
        <v>546</v>
      </c>
      <c r="D39" s="6" t="s">
        <v>1120</v>
      </c>
      <c r="F39" s="40" t="s">
        <v>877</v>
      </c>
      <c r="G39" s="39">
        <v>2</v>
      </c>
      <c r="H39" s="29">
        <v>2009</v>
      </c>
      <c r="I39" s="10" t="s">
        <v>972</v>
      </c>
      <c r="J39" s="43">
        <f>1.8*1.8*0.5</f>
        <v>1.62</v>
      </c>
      <c r="K39" s="12" t="s">
        <v>1403</v>
      </c>
    </row>
    <row r="40" spans="1:11" ht="15.75" customHeight="1" x14ac:dyDescent="0.15">
      <c r="A40" s="8" t="s">
        <v>71</v>
      </c>
      <c r="B40" s="20" t="s">
        <v>321</v>
      </c>
      <c r="C40" s="3" t="s">
        <v>547</v>
      </c>
      <c r="D40" s="6" t="s">
        <v>840</v>
      </c>
      <c r="F40" s="42">
        <v>5</v>
      </c>
      <c r="G40" s="39">
        <v>12</v>
      </c>
      <c r="H40" s="2">
        <v>1927</v>
      </c>
      <c r="I40" s="10" t="s">
        <v>962</v>
      </c>
      <c r="J40" s="43">
        <v>27</v>
      </c>
      <c r="K40" s="12" t="s">
        <v>1404</v>
      </c>
    </row>
    <row r="41" spans="1:11" ht="15.75" customHeight="1" x14ac:dyDescent="0.15">
      <c r="A41" s="8" t="s">
        <v>72</v>
      </c>
      <c r="B41" s="20" t="s">
        <v>322</v>
      </c>
      <c r="C41" s="15" t="s">
        <v>548</v>
      </c>
      <c r="D41" s="6" t="s">
        <v>840</v>
      </c>
      <c r="F41" s="42">
        <v>2</v>
      </c>
      <c r="G41" s="39">
        <v>3</v>
      </c>
      <c r="H41" s="2">
        <v>1955</v>
      </c>
      <c r="I41" s="10" t="s">
        <v>973</v>
      </c>
      <c r="J41" s="43">
        <f>15*100</f>
        <v>1500</v>
      </c>
      <c r="K41" s="12" t="s">
        <v>1405</v>
      </c>
    </row>
    <row r="42" spans="1:11" ht="15.75" customHeight="1" x14ac:dyDescent="0.2">
      <c r="A42" s="60" t="s">
        <v>877</v>
      </c>
      <c r="B42" s="61" t="s">
        <v>1373</v>
      </c>
      <c r="C42" s="8" t="s">
        <v>549</v>
      </c>
      <c r="D42" s="6" t="s">
        <v>839</v>
      </c>
      <c r="E42" s="30" t="s">
        <v>1550</v>
      </c>
      <c r="F42" s="63" t="s">
        <v>877</v>
      </c>
      <c r="G42" s="63" t="s">
        <v>877</v>
      </c>
      <c r="H42" s="63" t="s">
        <v>877</v>
      </c>
      <c r="I42" s="63" t="s">
        <v>877</v>
      </c>
      <c r="J42" s="63" t="s">
        <v>877</v>
      </c>
      <c r="K42" s="12" t="s">
        <v>1374</v>
      </c>
    </row>
    <row r="43" spans="1:11" ht="15.75" customHeight="1" x14ac:dyDescent="0.15">
      <c r="A43" s="8" t="s">
        <v>73</v>
      </c>
      <c r="B43" s="20" t="s">
        <v>323</v>
      </c>
      <c r="C43" s="3" t="s">
        <v>550</v>
      </c>
      <c r="D43" s="6" t="s">
        <v>840</v>
      </c>
      <c r="F43" s="42">
        <v>1</v>
      </c>
      <c r="G43" s="39">
        <v>2</v>
      </c>
      <c r="H43" s="2">
        <v>1978</v>
      </c>
      <c r="I43" s="44" t="s">
        <v>975</v>
      </c>
      <c r="J43" s="43">
        <f>0.03*0.005</f>
        <v>1.4999999999999999E-4</v>
      </c>
      <c r="K43" s="9" t="s">
        <v>551</v>
      </c>
    </row>
    <row r="44" spans="1:11" ht="15.75" customHeight="1" x14ac:dyDescent="0.15">
      <c r="A44" s="8" t="s">
        <v>74</v>
      </c>
      <c r="B44" s="20" t="s">
        <v>1300</v>
      </c>
      <c r="C44" s="3" t="s">
        <v>552</v>
      </c>
      <c r="D44" s="6" t="s">
        <v>839</v>
      </c>
      <c r="F44" s="42">
        <v>1</v>
      </c>
      <c r="G44" s="39">
        <v>3</v>
      </c>
      <c r="H44" s="2">
        <v>1884</v>
      </c>
      <c r="I44" s="10" t="s">
        <v>976</v>
      </c>
      <c r="J44" s="43">
        <f>20*15*15</f>
        <v>4500</v>
      </c>
      <c r="K44" s="12" t="s">
        <v>1406</v>
      </c>
    </row>
    <row r="45" spans="1:11" ht="15.75" customHeight="1" x14ac:dyDescent="0.15">
      <c r="A45" s="8" t="s">
        <v>75</v>
      </c>
      <c r="B45" s="20" t="s">
        <v>324</v>
      </c>
      <c r="C45" s="3" t="s">
        <v>5</v>
      </c>
      <c r="D45" s="6" t="s">
        <v>839</v>
      </c>
      <c r="F45" s="40" t="s">
        <v>877</v>
      </c>
      <c r="G45" s="39">
        <v>1</v>
      </c>
      <c r="H45" s="2">
        <v>2011</v>
      </c>
      <c r="I45" s="10" t="s">
        <v>977</v>
      </c>
      <c r="J45" s="43">
        <f>0.1*0.1*0.1</f>
        <v>1.0000000000000002E-3</v>
      </c>
      <c r="K45" s="9" t="s">
        <v>553</v>
      </c>
    </row>
    <row r="46" spans="1:11" ht="15.75" customHeight="1" x14ac:dyDescent="0.15">
      <c r="A46" s="8" t="s">
        <v>76</v>
      </c>
      <c r="B46" s="20" t="s">
        <v>325</v>
      </c>
      <c r="C46" s="3" t="s">
        <v>554</v>
      </c>
      <c r="D46" s="6" t="s">
        <v>840</v>
      </c>
      <c r="F46" s="42">
        <v>2</v>
      </c>
      <c r="G46" s="39">
        <v>3</v>
      </c>
      <c r="H46" s="2">
        <v>1964</v>
      </c>
      <c r="I46" s="10" t="s">
        <v>978</v>
      </c>
      <c r="J46" s="43">
        <f>2*0.5*0.3</f>
        <v>0.3</v>
      </c>
      <c r="K46" s="9" t="s">
        <v>849</v>
      </c>
    </row>
    <row r="47" spans="1:11" ht="15.75" customHeight="1" x14ac:dyDescent="0.15">
      <c r="A47" s="8" t="s">
        <v>77</v>
      </c>
      <c r="B47" s="20" t="s">
        <v>26</v>
      </c>
      <c r="C47" s="8" t="s">
        <v>555</v>
      </c>
      <c r="D47" s="6" t="s">
        <v>840</v>
      </c>
      <c r="E47" s="30" t="s">
        <v>514</v>
      </c>
      <c r="F47" s="42">
        <v>5</v>
      </c>
      <c r="G47" s="39">
        <v>9</v>
      </c>
      <c r="H47" s="2">
        <v>1962</v>
      </c>
      <c r="I47" s="10" t="s">
        <v>979</v>
      </c>
      <c r="J47" s="53">
        <f>12*12*12</f>
        <v>1728</v>
      </c>
      <c r="K47" s="9" t="s">
        <v>980</v>
      </c>
    </row>
    <row r="48" spans="1:11" ht="15.75" customHeight="1" x14ac:dyDescent="0.15">
      <c r="A48" s="8" t="s">
        <v>78</v>
      </c>
      <c r="B48" s="20" t="s">
        <v>303</v>
      </c>
      <c r="C48" s="3" t="s">
        <v>556</v>
      </c>
      <c r="D48" s="6" t="s">
        <v>842</v>
      </c>
      <c r="E48" s="32" t="s">
        <v>544</v>
      </c>
      <c r="F48" s="40" t="s">
        <v>877</v>
      </c>
      <c r="G48" s="39">
        <v>4</v>
      </c>
      <c r="H48" s="2">
        <v>1983</v>
      </c>
      <c r="I48" s="13" t="s">
        <v>1407</v>
      </c>
      <c r="J48" s="43">
        <f>6*6*6</f>
        <v>216</v>
      </c>
      <c r="K48" s="9" t="s">
        <v>1220</v>
      </c>
    </row>
    <row r="49" spans="1:11" ht="15.75" customHeight="1" x14ac:dyDescent="0.15">
      <c r="A49" s="8" t="s">
        <v>79</v>
      </c>
      <c r="B49" s="20" t="s">
        <v>326</v>
      </c>
      <c r="C49" s="3" t="s">
        <v>557</v>
      </c>
      <c r="D49" s="6" t="s">
        <v>840</v>
      </c>
      <c r="F49" s="42">
        <v>1</v>
      </c>
      <c r="G49" s="39">
        <v>1</v>
      </c>
      <c r="H49" s="2">
        <v>1968</v>
      </c>
      <c r="I49" s="10" t="s">
        <v>981</v>
      </c>
      <c r="J49" s="43">
        <f>15*2*2</f>
        <v>60</v>
      </c>
      <c r="K49" s="9" t="s">
        <v>558</v>
      </c>
    </row>
    <row r="50" spans="1:11" ht="15.75" customHeight="1" x14ac:dyDescent="0.15">
      <c r="A50" s="8" t="s">
        <v>80</v>
      </c>
      <c r="B50" s="20" t="s">
        <v>327</v>
      </c>
      <c r="C50" s="3" t="s">
        <v>559</v>
      </c>
      <c r="D50" s="6" t="s">
        <v>840</v>
      </c>
      <c r="E50" s="30" t="s">
        <v>1530</v>
      </c>
      <c r="F50" s="40" t="s">
        <v>877</v>
      </c>
      <c r="G50" s="39">
        <v>1</v>
      </c>
      <c r="H50" s="2">
        <v>1988</v>
      </c>
      <c r="I50" s="44" t="s">
        <v>982</v>
      </c>
      <c r="J50" s="43">
        <f>2*0.33*0.06</f>
        <v>3.9600000000000003E-2</v>
      </c>
      <c r="K50" s="9" t="s">
        <v>983</v>
      </c>
    </row>
    <row r="51" spans="1:11" ht="15.75" customHeight="1" x14ac:dyDescent="0.15">
      <c r="A51" s="8" t="s">
        <v>81</v>
      </c>
      <c r="B51" s="20" t="s">
        <v>16</v>
      </c>
      <c r="C51" s="3" t="s">
        <v>560</v>
      </c>
      <c r="D51" s="6" t="s">
        <v>839</v>
      </c>
      <c r="E51" s="32" t="s">
        <v>495</v>
      </c>
      <c r="F51" s="40" t="s">
        <v>877</v>
      </c>
      <c r="G51" s="39">
        <v>3</v>
      </c>
      <c r="H51" s="2">
        <v>1983</v>
      </c>
      <c r="I51" s="10" t="s">
        <v>977</v>
      </c>
      <c r="J51" s="43">
        <f>0.1*0.1*0.1</f>
        <v>1.0000000000000002E-3</v>
      </c>
      <c r="K51" s="9" t="s">
        <v>984</v>
      </c>
    </row>
    <row r="52" spans="1:11" ht="15.75" customHeight="1" x14ac:dyDescent="0.15">
      <c r="A52" s="8" t="s">
        <v>82</v>
      </c>
      <c r="B52" s="22" t="s">
        <v>305</v>
      </c>
      <c r="C52" s="8" t="s">
        <v>561</v>
      </c>
      <c r="D52" s="6" t="s">
        <v>839</v>
      </c>
      <c r="E52" s="12" t="s">
        <v>495</v>
      </c>
      <c r="F52" s="40" t="s">
        <v>877</v>
      </c>
      <c r="G52" s="68">
        <v>1</v>
      </c>
      <c r="H52" s="2">
        <v>2014</v>
      </c>
      <c r="I52" s="10" t="s">
        <v>985</v>
      </c>
      <c r="J52" s="43">
        <f>0.3*0.3*0.3</f>
        <v>2.7E-2</v>
      </c>
      <c r="K52" s="9" t="s">
        <v>851</v>
      </c>
    </row>
    <row r="53" spans="1:11" ht="15.75" customHeight="1" x14ac:dyDescent="0.2">
      <c r="A53" s="8" t="s">
        <v>83</v>
      </c>
      <c r="B53" s="22" t="s">
        <v>861</v>
      </c>
      <c r="C53" s="8" t="s">
        <v>862</v>
      </c>
      <c r="D53" s="6" t="s">
        <v>840</v>
      </c>
      <c r="E53" s="12"/>
      <c r="F53" s="40" t="s">
        <v>877</v>
      </c>
      <c r="G53" s="39">
        <v>1</v>
      </c>
      <c r="H53" s="2">
        <v>2015</v>
      </c>
      <c r="I53" s="10" t="s">
        <v>986</v>
      </c>
      <c r="J53" s="43">
        <f>1.5*1.5*0.5</f>
        <v>1.125</v>
      </c>
      <c r="K53" s="9" t="s">
        <v>886</v>
      </c>
    </row>
    <row r="54" spans="1:11" ht="15.75" customHeight="1" x14ac:dyDescent="0.15">
      <c r="A54" s="8" t="s">
        <v>84</v>
      </c>
      <c r="B54" s="20" t="s">
        <v>12</v>
      </c>
      <c r="C54" s="3" t="s">
        <v>562</v>
      </c>
      <c r="D54" s="6" t="s">
        <v>839</v>
      </c>
      <c r="E54" s="32" t="s">
        <v>563</v>
      </c>
      <c r="F54" s="40" t="s">
        <v>877</v>
      </c>
      <c r="G54" s="69">
        <v>1</v>
      </c>
      <c r="H54" s="2">
        <v>2002</v>
      </c>
      <c r="I54" s="10" t="s">
        <v>949</v>
      </c>
      <c r="J54" s="43">
        <f>0.5*0.5*0.5</f>
        <v>0.125</v>
      </c>
      <c r="K54" s="9" t="s">
        <v>565</v>
      </c>
    </row>
    <row r="55" spans="1:11" ht="15.75" customHeight="1" x14ac:dyDescent="0.15">
      <c r="A55" s="8" t="s">
        <v>85</v>
      </c>
      <c r="B55" s="20" t="s">
        <v>328</v>
      </c>
      <c r="C55" s="3" t="s">
        <v>566</v>
      </c>
      <c r="D55" s="6" t="s">
        <v>840</v>
      </c>
      <c r="E55" s="32" t="s">
        <v>571</v>
      </c>
      <c r="F55" s="39">
        <v>1</v>
      </c>
      <c r="G55" s="39">
        <v>5</v>
      </c>
      <c r="H55" s="6">
        <v>1983</v>
      </c>
      <c r="I55" s="10" t="s">
        <v>987</v>
      </c>
      <c r="J55" s="43">
        <v>8</v>
      </c>
      <c r="K55" s="9" t="s">
        <v>988</v>
      </c>
    </row>
    <row r="56" spans="1:11" ht="15.75" customHeight="1" x14ac:dyDescent="0.15">
      <c r="A56" s="8" t="s">
        <v>86</v>
      </c>
      <c r="B56" s="20" t="s">
        <v>329</v>
      </c>
      <c r="C56" s="15" t="s">
        <v>567</v>
      </c>
      <c r="D56" s="6" t="s">
        <v>840</v>
      </c>
      <c r="E56" s="30" t="s">
        <v>1606</v>
      </c>
      <c r="F56" s="40" t="s">
        <v>877</v>
      </c>
      <c r="G56" s="39">
        <v>1</v>
      </c>
      <c r="H56" s="2">
        <v>2011</v>
      </c>
      <c r="I56" s="10" t="s">
        <v>987</v>
      </c>
      <c r="J56" s="43">
        <v>8</v>
      </c>
      <c r="K56" s="9" t="s">
        <v>913</v>
      </c>
    </row>
    <row r="57" spans="1:11" ht="15.75" customHeight="1" x14ac:dyDescent="0.15">
      <c r="A57" s="8" t="s">
        <v>87</v>
      </c>
      <c r="B57" s="20" t="s">
        <v>330</v>
      </c>
      <c r="C57" s="3" t="s">
        <v>568</v>
      </c>
      <c r="D57" s="6" t="s">
        <v>840</v>
      </c>
      <c r="F57" s="64">
        <v>66</v>
      </c>
      <c r="G57" s="65">
        <v>132</v>
      </c>
      <c r="H57" s="2">
        <v>1883</v>
      </c>
      <c r="I57" s="63" t="s">
        <v>877</v>
      </c>
      <c r="J57" s="63" t="s">
        <v>877</v>
      </c>
      <c r="K57" s="45" t="s">
        <v>1408</v>
      </c>
    </row>
    <row r="58" spans="1:11" ht="15.75" customHeight="1" x14ac:dyDescent="0.15">
      <c r="A58" s="8" t="s">
        <v>88</v>
      </c>
      <c r="B58" s="20" t="s">
        <v>331</v>
      </c>
      <c r="C58" s="3" t="s">
        <v>569</v>
      </c>
      <c r="D58" s="6" t="s">
        <v>840</v>
      </c>
      <c r="F58" s="66">
        <v>5</v>
      </c>
      <c r="G58" s="39">
        <v>9</v>
      </c>
      <c r="H58" s="2">
        <v>1972</v>
      </c>
      <c r="I58" s="10" t="s">
        <v>989</v>
      </c>
      <c r="J58" s="43">
        <f>0.2*0.2*0.2</f>
        <v>8.0000000000000019E-3</v>
      </c>
      <c r="K58" s="9" t="s">
        <v>990</v>
      </c>
    </row>
    <row r="59" spans="1:11" ht="15.75" customHeight="1" x14ac:dyDescent="0.15">
      <c r="A59" s="8" t="s">
        <v>89</v>
      </c>
      <c r="B59" s="20" t="s">
        <v>332</v>
      </c>
      <c r="C59" s="15" t="s">
        <v>574</v>
      </c>
      <c r="D59" s="6" t="s">
        <v>839</v>
      </c>
      <c r="E59" s="32" t="s">
        <v>515</v>
      </c>
      <c r="F59" s="64">
        <v>71</v>
      </c>
      <c r="G59" s="65">
        <v>142</v>
      </c>
      <c r="H59" s="2">
        <v>1839</v>
      </c>
      <c r="I59" s="10" t="s">
        <v>1211</v>
      </c>
      <c r="J59" s="43">
        <f>1*0.2*0.2*25.4*25.4*25.4</f>
        <v>655.48256000000003</v>
      </c>
      <c r="K59" s="12" t="s">
        <v>1502</v>
      </c>
    </row>
    <row r="60" spans="1:11" ht="15.75" customHeight="1" x14ac:dyDescent="0.15">
      <c r="A60" s="8" t="s">
        <v>90</v>
      </c>
      <c r="B60" s="20" t="s">
        <v>333</v>
      </c>
      <c r="C60" s="3" t="s">
        <v>575</v>
      </c>
      <c r="D60" s="6" t="s">
        <v>839</v>
      </c>
      <c r="E60" s="32" t="s">
        <v>495</v>
      </c>
      <c r="F60" s="63" t="s">
        <v>877</v>
      </c>
      <c r="G60" s="39">
        <v>2</v>
      </c>
      <c r="H60" s="2">
        <v>2013</v>
      </c>
      <c r="I60" s="10" t="s">
        <v>991</v>
      </c>
      <c r="J60" s="43">
        <f>30*20*20</f>
        <v>12000</v>
      </c>
      <c r="K60" s="9" t="s">
        <v>992</v>
      </c>
    </row>
    <row r="61" spans="1:11" ht="15.75" customHeight="1" x14ac:dyDescent="0.15">
      <c r="A61" s="8" t="s">
        <v>91</v>
      </c>
      <c r="B61" s="20" t="s">
        <v>22</v>
      </c>
      <c r="C61" s="3" t="s">
        <v>576</v>
      </c>
      <c r="D61" s="6" t="s">
        <v>839</v>
      </c>
      <c r="E61" s="30" t="s">
        <v>1550</v>
      </c>
      <c r="F61" s="64">
        <v>236</v>
      </c>
      <c r="G61" s="65">
        <v>471</v>
      </c>
      <c r="H61" s="2">
        <v>1806</v>
      </c>
      <c r="I61" s="34" t="s">
        <v>1001</v>
      </c>
      <c r="J61" s="34" t="s">
        <v>1001</v>
      </c>
      <c r="K61" s="45" t="s">
        <v>1124</v>
      </c>
    </row>
    <row r="62" spans="1:11" ht="15.75" customHeight="1" x14ac:dyDescent="0.15">
      <c r="A62" s="8" t="s">
        <v>92</v>
      </c>
      <c r="B62" s="20" t="s">
        <v>2</v>
      </c>
      <c r="C62" s="3" t="s">
        <v>577</v>
      </c>
      <c r="D62" s="6" t="s">
        <v>839</v>
      </c>
      <c r="E62" s="32" t="s">
        <v>495</v>
      </c>
      <c r="F62" s="64">
        <v>283</v>
      </c>
      <c r="G62" s="65">
        <v>565</v>
      </c>
      <c r="H62" s="6">
        <v>1884</v>
      </c>
      <c r="I62" s="10" t="s">
        <v>993</v>
      </c>
      <c r="J62" s="43">
        <f>40*20*20</f>
        <v>16000</v>
      </c>
      <c r="K62" s="45" t="s">
        <v>1409</v>
      </c>
    </row>
    <row r="63" spans="1:11" ht="15.75" customHeight="1" x14ac:dyDescent="0.15">
      <c r="A63" s="8" t="s">
        <v>93</v>
      </c>
      <c r="B63" s="20" t="s">
        <v>36</v>
      </c>
      <c r="C63" s="3" t="s">
        <v>578</v>
      </c>
      <c r="D63" s="6" t="s">
        <v>839</v>
      </c>
      <c r="E63" s="32" t="s">
        <v>579</v>
      </c>
      <c r="F63" s="64">
        <v>109</v>
      </c>
      <c r="G63" s="65">
        <v>218</v>
      </c>
      <c r="H63" s="6">
        <v>1881</v>
      </c>
      <c r="I63" s="34" t="s">
        <v>1001</v>
      </c>
      <c r="J63" s="34" t="s">
        <v>1001</v>
      </c>
      <c r="K63" s="45" t="s">
        <v>1221</v>
      </c>
    </row>
    <row r="64" spans="1:11" ht="15.75" customHeight="1" x14ac:dyDescent="0.15">
      <c r="A64" s="62" t="s">
        <v>94</v>
      </c>
      <c r="B64" s="20" t="s">
        <v>334</v>
      </c>
      <c r="C64" s="3" t="s">
        <v>585</v>
      </c>
      <c r="D64" s="6" t="s">
        <v>840</v>
      </c>
      <c r="F64" s="40" t="s">
        <v>877</v>
      </c>
      <c r="G64" s="39">
        <v>3</v>
      </c>
      <c r="H64" s="2">
        <v>1980</v>
      </c>
      <c r="I64" s="10" t="s">
        <v>974</v>
      </c>
      <c r="J64" s="43">
        <v>1</v>
      </c>
      <c r="K64" s="9" t="s">
        <v>1222</v>
      </c>
    </row>
    <row r="65" spans="1:11" ht="15.75" customHeight="1" x14ac:dyDescent="0.15">
      <c r="A65" s="62" t="s">
        <v>95</v>
      </c>
      <c r="B65" s="20" t="s">
        <v>3</v>
      </c>
      <c r="C65" s="3" t="s">
        <v>586</v>
      </c>
      <c r="D65" s="6" t="s">
        <v>839</v>
      </c>
      <c r="E65" s="32" t="s">
        <v>495</v>
      </c>
      <c r="F65" s="64">
        <v>244</v>
      </c>
      <c r="G65" s="65">
        <v>487</v>
      </c>
      <c r="H65" s="2">
        <v>1913</v>
      </c>
      <c r="I65" s="34" t="s">
        <v>1001</v>
      </c>
      <c r="J65" s="34" t="s">
        <v>1001</v>
      </c>
      <c r="K65" s="45" t="s">
        <v>1122</v>
      </c>
    </row>
    <row r="66" spans="1:11" ht="15.75" customHeight="1" x14ac:dyDescent="0.2">
      <c r="A66" s="60" t="s">
        <v>877</v>
      </c>
      <c r="B66" s="22" t="s">
        <v>335</v>
      </c>
      <c r="C66" s="3" t="s">
        <v>569</v>
      </c>
      <c r="D66" s="6" t="s">
        <v>840</v>
      </c>
      <c r="E66" s="32" t="s">
        <v>514</v>
      </c>
      <c r="F66" s="63" t="s">
        <v>877</v>
      </c>
      <c r="G66" s="63" t="s">
        <v>877</v>
      </c>
      <c r="H66" s="34" t="s">
        <v>1001</v>
      </c>
      <c r="I66" s="34" t="s">
        <v>1001</v>
      </c>
      <c r="J66" s="34" t="s">
        <v>1001</v>
      </c>
      <c r="K66" s="12" t="s">
        <v>1386</v>
      </c>
    </row>
    <row r="67" spans="1:11" ht="15.75" customHeight="1" x14ac:dyDescent="0.15">
      <c r="A67" s="62" t="s">
        <v>96</v>
      </c>
      <c r="B67" s="20" t="s">
        <v>336</v>
      </c>
      <c r="C67" s="3" t="s">
        <v>587</v>
      </c>
      <c r="D67" s="6" t="s">
        <v>840</v>
      </c>
      <c r="F67" s="66">
        <v>1</v>
      </c>
      <c r="G67" s="39">
        <v>4</v>
      </c>
      <c r="H67" s="2">
        <v>1957</v>
      </c>
      <c r="I67" s="10" t="s">
        <v>994</v>
      </c>
      <c r="J67" s="43">
        <f>70*15*15</f>
        <v>15750</v>
      </c>
      <c r="K67" s="9" t="s">
        <v>588</v>
      </c>
    </row>
    <row r="68" spans="1:11" ht="15.75" customHeight="1" x14ac:dyDescent="0.15">
      <c r="A68" s="62" t="s">
        <v>97</v>
      </c>
      <c r="B68" s="20" t="s">
        <v>337</v>
      </c>
      <c r="C68" s="3" t="s">
        <v>589</v>
      </c>
      <c r="D68" s="6" t="s">
        <v>840</v>
      </c>
      <c r="F68" s="66">
        <v>1</v>
      </c>
      <c r="G68" s="39">
        <v>1</v>
      </c>
      <c r="H68" s="2">
        <v>1962</v>
      </c>
      <c r="I68" s="10" t="s">
        <v>995</v>
      </c>
      <c r="J68" s="43">
        <f>25*25*25</f>
        <v>15625</v>
      </c>
      <c r="K68" s="12" t="s">
        <v>1410</v>
      </c>
    </row>
    <row r="69" spans="1:11" ht="15.75" customHeight="1" x14ac:dyDescent="0.15">
      <c r="A69" s="62" t="s">
        <v>98</v>
      </c>
      <c r="B69" s="20" t="s">
        <v>338</v>
      </c>
      <c r="C69" s="3" t="s">
        <v>590</v>
      </c>
      <c r="D69" s="6" t="s">
        <v>840</v>
      </c>
      <c r="E69" s="12" t="s">
        <v>1533</v>
      </c>
      <c r="F69" s="66">
        <v>1</v>
      </c>
      <c r="G69" s="39">
        <v>2</v>
      </c>
      <c r="H69" s="2">
        <v>1976</v>
      </c>
      <c r="I69" s="10" t="s">
        <v>949</v>
      </c>
      <c r="J69" s="43">
        <f>0.5*0.5*0.5</f>
        <v>0.125</v>
      </c>
      <c r="K69" s="12" t="s">
        <v>1411</v>
      </c>
    </row>
    <row r="70" spans="1:11" ht="15.75" customHeight="1" x14ac:dyDescent="0.15">
      <c r="A70" s="62" t="s">
        <v>99</v>
      </c>
      <c r="B70" s="20" t="s">
        <v>339</v>
      </c>
      <c r="C70" s="3" t="s">
        <v>591</v>
      </c>
      <c r="D70" s="6" t="s">
        <v>841</v>
      </c>
      <c r="F70" s="66">
        <v>1</v>
      </c>
      <c r="G70" s="39">
        <v>1</v>
      </c>
      <c r="H70" s="2">
        <v>1933</v>
      </c>
      <c r="I70" s="10" t="s">
        <v>996</v>
      </c>
      <c r="J70" s="43">
        <f>0.07*0.07*0.07</f>
        <v>3.430000000000001E-4</v>
      </c>
      <c r="K70" s="45" t="s">
        <v>997</v>
      </c>
    </row>
    <row r="71" spans="1:11" ht="15.75" customHeight="1" x14ac:dyDescent="0.15">
      <c r="A71" s="62" t="s">
        <v>100</v>
      </c>
      <c r="B71" s="20" t="s">
        <v>340</v>
      </c>
      <c r="C71" s="3" t="s">
        <v>592</v>
      </c>
      <c r="D71" s="6" t="s">
        <v>839</v>
      </c>
      <c r="E71" s="32" t="s">
        <v>495</v>
      </c>
      <c r="F71" s="40" t="s">
        <v>877</v>
      </c>
      <c r="G71" s="39">
        <v>14</v>
      </c>
      <c r="H71" s="2">
        <v>1989</v>
      </c>
      <c r="I71" s="10" t="s">
        <v>987</v>
      </c>
      <c r="J71" s="43">
        <v>8</v>
      </c>
      <c r="K71" s="9" t="s">
        <v>859</v>
      </c>
    </row>
    <row r="72" spans="1:11" ht="15.75" customHeight="1" x14ac:dyDescent="0.15">
      <c r="A72" s="62" t="s">
        <v>101</v>
      </c>
      <c r="B72" s="20" t="s">
        <v>341</v>
      </c>
      <c r="C72" s="3" t="s">
        <v>593</v>
      </c>
      <c r="D72" s="6" t="s">
        <v>840</v>
      </c>
      <c r="F72" s="66">
        <v>19</v>
      </c>
      <c r="G72" s="65">
        <v>51</v>
      </c>
      <c r="H72" s="2">
        <v>1926</v>
      </c>
      <c r="I72" s="34" t="s">
        <v>1001</v>
      </c>
      <c r="J72" s="34" t="s">
        <v>1001</v>
      </c>
      <c r="K72" s="12" t="s">
        <v>1123</v>
      </c>
    </row>
    <row r="73" spans="1:11" ht="15.75" customHeight="1" x14ac:dyDescent="0.15">
      <c r="A73" s="62" t="s">
        <v>102</v>
      </c>
      <c r="B73" s="20" t="s">
        <v>342</v>
      </c>
      <c r="C73" s="3" t="s">
        <v>594</v>
      </c>
      <c r="D73" s="6" t="s">
        <v>839</v>
      </c>
      <c r="E73" s="32" t="s">
        <v>495</v>
      </c>
      <c r="F73" s="66">
        <v>1</v>
      </c>
      <c r="G73" s="39">
        <v>2</v>
      </c>
      <c r="H73" s="2">
        <v>1966</v>
      </c>
      <c r="I73" s="10" t="s">
        <v>998</v>
      </c>
      <c r="J73" s="43">
        <f>10*5*5</f>
        <v>250</v>
      </c>
      <c r="K73" s="9" t="s">
        <v>1223</v>
      </c>
    </row>
    <row r="74" spans="1:11" ht="15.75" customHeight="1" x14ac:dyDescent="0.15">
      <c r="A74" s="62" t="s">
        <v>103</v>
      </c>
      <c r="B74" s="20" t="s">
        <v>343</v>
      </c>
      <c r="C74" s="8" t="s">
        <v>595</v>
      </c>
      <c r="D74" s="6" t="s">
        <v>839</v>
      </c>
      <c r="E74" s="32" t="s">
        <v>495</v>
      </c>
      <c r="F74" s="40" t="s">
        <v>877</v>
      </c>
      <c r="G74" s="39">
        <v>8</v>
      </c>
      <c r="H74" s="2">
        <v>2011</v>
      </c>
      <c r="I74" s="13" t="s">
        <v>1415</v>
      </c>
      <c r="J74" s="43">
        <f>3*3*3</f>
        <v>27</v>
      </c>
      <c r="K74" s="9" t="s">
        <v>999</v>
      </c>
    </row>
    <row r="75" spans="1:11" ht="15.75" customHeight="1" x14ac:dyDescent="0.15">
      <c r="A75" s="62" t="s">
        <v>104</v>
      </c>
      <c r="B75" s="20" t="s">
        <v>344</v>
      </c>
      <c r="C75" s="3" t="s">
        <v>596</v>
      </c>
      <c r="D75" s="6" t="s">
        <v>839</v>
      </c>
      <c r="E75" s="32" t="s">
        <v>495</v>
      </c>
      <c r="F75" s="63" t="s">
        <v>877</v>
      </c>
      <c r="G75" s="65">
        <v>19</v>
      </c>
      <c r="H75" s="2">
        <v>2013</v>
      </c>
      <c r="I75" s="10" t="s">
        <v>1000</v>
      </c>
      <c r="J75" s="43">
        <f>13*12*23</f>
        <v>3588</v>
      </c>
      <c r="K75" s="9" t="s">
        <v>1224</v>
      </c>
    </row>
    <row r="76" spans="1:11" ht="15.75" customHeight="1" x14ac:dyDescent="0.15">
      <c r="A76" s="62" t="s">
        <v>105</v>
      </c>
      <c r="B76" s="14" t="s">
        <v>10</v>
      </c>
      <c r="C76" s="8" t="s">
        <v>813</v>
      </c>
      <c r="D76" s="6" t="s">
        <v>839</v>
      </c>
      <c r="E76" s="30" t="s">
        <v>495</v>
      </c>
      <c r="F76" s="40" t="s">
        <v>877</v>
      </c>
      <c r="G76" s="39">
        <v>2</v>
      </c>
      <c r="H76" s="13">
        <v>2008</v>
      </c>
      <c r="I76" s="34" t="s">
        <v>1001</v>
      </c>
      <c r="J76" s="34" t="s">
        <v>1001</v>
      </c>
      <c r="K76" s="12" t="s">
        <v>1413</v>
      </c>
    </row>
    <row r="77" spans="1:11" ht="15.75" customHeight="1" x14ac:dyDescent="0.15">
      <c r="A77" s="62" t="s">
        <v>106</v>
      </c>
      <c r="B77" s="20" t="s">
        <v>14</v>
      </c>
      <c r="C77" s="3" t="s">
        <v>597</v>
      </c>
      <c r="D77" s="6" t="s">
        <v>839</v>
      </c>
      <c r="E77" s="32" t="s">
        <v>495</v>
      </c>
      <c r="F77" s="66">
        <v>1</v>
      </c>
      <c r="G77" s="39">
        <v>15</v>
      </c>
      <c r="H77" s="2">
        <v>1977</v>
      </c>
      <c r="I77" s="10" t="s">
        <v>1002</v>
      </c>
      <c r="J77" s="43">
        <f>250*100*100</f>
        <v>2500000</v>
      </c>
      <c r="K77" s="9" t="s">
        <v>1003</v>
      </c>
    </row>
    <row r="78" spans="1:11" ht="15.75" customHeight="1" x14ac:dyDescent="0.15">
      <c r="A78" s="62" t="s">
        <v>107</v>
      </c>
      <c r="B78" s="20" t="s">
        <v>920</v>
      </c>
      <c r="C78" s="8" t="s">
        <v>921</v>
      </c>
      <c r="D78" s="6" t="s">
        <v>839</v>
      </c>
      <c r="E78" s="32" t="s">
        <v>495</v>
      </c>
      <c r="F78" s="40" t="s">
        <v>877</v>
      </c>
      <c r="G78" s="39">
        <v>1</v>
      </c>
      <c r="H78" s="13">
        <v>2004</v>
      </c>
      <c r="I78" s="34" t="s">
        <v>1001</v>
      </c>
      <c r="J78" s="34" t="s">
        <v>1001</v>
      </c>
      <c r="K78" s="12" t="s">
        <v>1384</v>
      </c>
    </row>
    <row r="79" spans="1:11" ht="15.75" customHeight="1" x14ac:dyDescent="0.15">
      <c r="A79" s="62" t="s">
        <v>108</v>
      </c>
      <c r="B79" s="20" t="s">
        <v>345</v>
      </c>
      <c r="C79" s="8" t="s">
        <v>598</v>
      </c>
      <c r="D79" s="6" t="s">
        <v>839</v>
      </c>
      <c r="E79" s="32" t="s">
        <v>495</v>
      </c>
      <c r="F79" s="40" t="s">
        <v>877</v>
      </c>
      <c r="G79" s="69">
        <v>18</v>
      </c>
      <c r="H79" s="2">
        <v>2016</v>
      </c>
      <c r="I79" s="10" t="s">
        <v>998</v>
      </c>
      <c r="J79" s="43">
        <f>10*5*5</f>
        <v>250</v>
      </c>
      <c r="K79" s="9" t="s">
        <v>1004</v>
      </c>
    </row>
    <row r="80" spans="1:11" ht="15.75" customHeight="1" x14ac:dyDescent="0.15">
      <c r="A80" s="62" t="s">
        <v>109</v>
      </c>
      <c r="B80" s="20" t="s">
        <v>346</v>
      </c>
      <c r="C80" s="3" t="s">
        <v>599</v>
      </c>
      <c r="D80" s="6" t="s">
        <v>839</v>
      </c>
      <c r="E80" s="32" t="s">
        <v>495</v>
      </c>
      <c r="F80" s="40" t="s">
        <v>877</v>
      </c>
      <c r="G80" s="39">
        <v>1</v>
      </c>
      <c r="H80" s="2">
        <v>2015</v>
      </c>
      <c r="I80" s="10" t="s">
        <v>1414</v>
      </c>
      <c r="J80" s="43">
        <f>0.4*0.4*0.3</f>
        <v>4.8000000000000008E-2</v>
      </c>
      <c r="K80" s="9" t="s">
        <v>932</v>
      </c>
    </row>
    <row r="81" spans="1:33" ht="15.75" customHeight="1" x14ac:dyDescent="0.15">
      <c r="A81" s="62" t="s">
        <v>110</v>
      </c>
      <c r="B81" s="20" t="s">
        <v>347</v>
      </c>
      <c r="C81" s="3" t="s">
        <v>600</v>
      </c>
      <c r="D81" s="6" t="s">
        <v>839</v>
      </c>
      <c r="E81" s="32" t="s">
        <v>495</v>
      </c>
      <c r="F81" s="63" t="s">
        <v>877</v>
      </c>
      <c r="G81" s="65">
        <v>80</v>
      </c>
      <c r="H81" s="2">
        <v>1930</v>
      </c>
      <c r="I81" s="34" t="s">
        <v>1001</v>
      </c>
      <c r="J81" s="34" t="s">
        <v>1001</v>
      </c>
      <c r="K81" s="45" t="s">
        <v>1225</v>
      </c>
    </row>
    <row r="82" spans="1:33" ht="15.75" customHeight="1" x14ac:dyDescent="0.2">
      <c r="A82" s="62" t="s">
        <v>111</v>
      </c>
      <c r="B82" s="20" t="s">
        <v>348</v>
      </c>
      <c r="C82" s="8" t="s">
        <v>601</v>
      </c>
      <c r="D82" s="6" t="s">
        <v>839</v>
      </c>
      <c r="E82" s="32" t="s">
        <v>495</v>
      </c>
      <c r="F82" s="63" t="s">
        <v>877</v>
      </c>
      <c r="G82" s="65">
        <v>62</v>
      </c>
      <c r="H82" s="2">
        <v>1993</v>
      </c>
      <c r="I82" s="10" t="s">
        <v>1005</v>
      </c>
      <c r="J82" s="43">
        <f>20*4*4</f>
        <v>320</v>
      </c>
      <c r="K82" s="9" t="s">
        <v>1226</v>
      </c>
    </row>
    <row r="83" spans="1:33" ht="15.75" customHeight="1" x14ac:dyDescent="0.15">
      <c r="A83" s="62" t="s">
        <v>112</v>
      </c>
      <c r="B83" s="22" t="s">
        <v>1336</v>
      </c>
      <c r="C83" s="8" t="s">
        <v>1337</v>
      </c>
      <c r="D83" s="6" t="s">
        <v>840</v>
      </c>
      <c r="E83" s="32" t="s">
        <v>512</v>
      </c>
      <c r="F83" s="40" t="s">
        <v>877</v>
      </c>
      <c r="G83" s="39">
        <v>1</v>
      </c>
      <c r="H83" s="2">
        <v>2016</v>
      </c>
      <c r="I83" s="13" t="s">
        <v>1436</v>
      </c>
      <c r="J83" s="51">
        <f>0.3*0.05*0.05</f>
        <v>7.5000000000000002E-4</v>
      </c>
      <c r="K83" s="12" t="s">
        <v>1435</v>
      </c>
      <c r="R83"/>
      <c r="S83"/>
      <c r="T83"/>
    </row>
    <row r="84" spans="1:33" s="11" customFormat="1" ht="15.75" customHeight="1" x14ac:dyDescent="0.15">
      <c r="A84" s="62" t="s">
        <v>113</v>
      </c>
      <c r="B84" s="22" t="s">
        <v>1301</v>
      </c>
      <c r="C84" s="8" t="s">
        <v>606</v>
      </c>
      <c r="D84" s="6" t="s">
        <v>840</v>
      </c>
      <c r="E84" s="54"/>
      <c r="F84" s="40" t="s">
        <v>877</v>
      </c>
      <c r="G84" s="39">
        <v>1</v>
      </c>
      <c r="H84" s="2">
        <v>2015</v>
      </c>
      <c r="I84" s="13" t="s">
        <v>1213</v>
      </c>
      <c r="J84" s="43">
        <f>5*2*2</f>
        <v>20</v>
      </c>
      <c r="K84" s="9" t="s">
        <v>1006</v>
      </c>
      <c r="L84" s="3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3" ht="15.75" customHeight="1" x14ac:dyDescent="0.15">
      <c r="A85" s="62" t="s">
        <v>114</v>
      </c>
      <c r="B85" s="20" t="s">
        <v>349</v>
      </c>
      <c r="C85" s="3" t="s">
        <v>609</v>
      </c>
      <c r="D85" s="6" t="s">
        <v>840</v>
      </c>
      <c r="E85" s="32" t="s">
        <v>511</v>
      </c>
      <c r="F85" s="40" t="s">
        <v>877</v>
      </c>
      <c r="G85" s="39">
        <v>1</v>
      </c>
      <c r="H85" s="2">
        <v>1983</v>
      </c>
      <c r="I85" s="10" t="s">
        <v>1007</v>
      </c>
      <c r="J85" s="43">
        <f>2*0.1*0.1</f>
        <v>2.0000000000000004E-2</v>
      </c>
      <c r="K85" s="9" t="s">
        <v>1227</v>
      </c>
      <c r="L85" s="8"/>
    </row>
    <row r="86" spans="1:33" ht="15.75" customHeight="1" x14ac:dyDescent="0.15">
      <c r="A86" s="62" t="s">
        <v>115</v>
      </c>
      <c r="B86" s="20" t="s">
        <v>350</v>
      </c>
      <c r="C86" s="15" t="s">
        <v>610</v>
      </c>
      <c r="D86" s="6" t="s">
        <v>840</v>
      </c>
      <c r="F86" s="42">
        <v>3</v>
      </c>
      <c r="G86" s="39">
        <v>5</v>
      </c>
      <c r="H86" s="2">
        <v>1957</v>
      </c>
      <c r="I86" s="34" t="s">
        <v>1001</v>
      </c>
      <c r="J86" s="34" t="s">
        <v>1001</v>
      </c>
      <c r="K86" s="45" t="s">
        <v>1125</v>
      </c>
    </row>
    <row r="87" spans="1:33" ht="15.75" customHeight="1" x14ac:dyDescent="0.15">
      <c r="A87" s="62" t="s">
        <v>116</v>
      </c>
      <c r="B87" s="20" t="s">
        <v>351</v>
      </c>
      <c r="C87" s="3" t="s">
        <v>611</v>
      </c>
      <c r="D87" s="6" t="s">
        <v>839</v>
      </c>
      <c r="F87" s="42">
        <v>2</v>
      </c>
      <c r="G87" s="39">
        <v>2</v>
      </c>
      <c r="H87" s="2">
        <v>1955</v>
      </c>
      <c r="I87" s="10" t="s">
        <v>962</v>
      </c>
      <c r="J87" s="43">
        <f>3*3*3</f>
        <v>27</v>
      </c>
      <c r="K87" s="45" t="s">
        <v>1416</v>
      </c>
    </row>
    <row r="88" spans="1:33" ht="15.75" customHeight="1" x14ac:dyDescent="0.15">
      <c r="A88" s="62" t="s">
        <v>117</v>
      </c>
      <c r="B88" s="20" t="s">
        <v>352</v>
      </c>
      <c r="C88" s="3" t="s">
        <v>612</v>
      </c>
      <c r="D88" s="6" t="s">
        <v>840</v>
      </c>
      <c r="F88" s="42">
        <v>1</v>
      </c>
      <c r="G88" s="39">
        <v>3</v>
      </c>
      <c r="H88" s="2">
        <v>1964</v>
      </c>
      <c r="I88" s="10" t="s">
        <v>1008</v>
      </c>
      <c r="J88" s="43">
        <f>50*3*3</f>
        <v>450</v>
      </c>
      <c r="K88" s="9" t="s">
        <v>1009</v>
      </c>
    </row>
    <row r="89" spans="1:33" ht="15.75" customHeight="1" x14ac:dyDescent="0.15">
      <c r="A89" s="62" t="s">
        <v>118</v>
      </c>
      <c r="B89" s="20" t="s">
        <v>353</v>
      </c>
      <c r="C89" s="3" t="s">
        <v>613</v>
      </c>
      <c r="D89" s="6" t="s">
        <v>840</v>
      </c>
      <c r="E89" s="12" t="s">
        <v>1539</v>
      </c>
      <c r="F89" s="42">
        <v>7</v>
      </c>
      <c r="G89" s="39">
        <v>8</v>
      </c>
      <c r="H89" s="2">
        <v>1934</v>
      </c>
      <c r="I89" s="13" t="s">
        <v>1400</v>
      </c>
      <c r="J89" s="43">
        <f>0.2*0.1*0.1</f>
        <v>2.0000000000000005E-3</v>
      </c>
      <c r="K89" s="12" t="s">
        <v>1417</v>
      </c>
    </row>
    <row r="90" spans="1:33" ht="15.75" customHeight="1" x14ac:dyDescent="0.15">
      <c r="A90" s="62" t="s">
        <v>119</v>
      </c>
      <c r="B90" s="20" t="s">
        <v>354</v>
      </c>
      <c r="C90" s="3" t="s">
        <v>614</v>
      </c>
      <c r="D90" s="6" t="s">
        <v>840</v>
      </c>
      <c r="F90" s="42">
        <v>1</v>
      </c>
      <c r="G90" s="39">
        <v>3</v>
      </c>
      <c r="H90" s="2">
        <v>1959</v>
      </c>
      <c r="I90" s="10" t="s">
        <v>1010</v>
      </c>
      <c r="J90" s="43">
        <f>1.5*0.06*0.02</f>
        <v>1.8E-3</v>
      </c>
      <c r="K90" s="9" t="s">
        <v>850</v>
      </c>
    </row>
    <row r="91" spans="1:33" ht="15.75" customHeight="1" x14ac:dyDescent="0.15">
      <c r="A91" s="62" t="s">
        <v>120</v>
      </c>
      <c r="B91" s="20" t="s">
        <v>20</v>
      </c>
      <c r="C91" s="3" t="s">
        <v>615</v>
      </c>
      <c r="D91" s="6" t="s">
        <v>839</v>
      </c>
      <c r="E91" s="12" t="s">
        <v>1545</v>
      </c>
      <c r="F91" s="42">
        <v>11</v>
      </c>
      <c r="G91" s="39">
        <v>42</v>
      </c>
      <c r="H91" s="2">
        <v>1902</v>
      </c>
      <c r="I91" s="10" t="s">
        <v>1011</v>
      </c>
      <c r="J91" s="43">
        <f>80*10*10</f>
        <v>8000</v>
      </c>
      <c r="K91" s="45" t="s">
        <v>1228</v>
      </c>
    </row>
    <row r="92" spans="1:33" ht="15.75" customHeight="1" x14ac:dyDescent="0.15">
      <c r="A92" s="62" t="s">
        <v>121</v>
      </c>
      <c r="B92" s="20" t="s">
        <v>355</v>
      </c>
      <c r="C92" s="3" t="s">
        <v>617</v>
      </c>
      <c r="D92" s="6" t="s">
        <v>840</v>
      </c>
      <c r="F92" s="42">
        <v>1</v>
      </c>
      <c r="G92" s="39">
        <v>1</v>
      </c>
      <c r="H92" s="2">
        <v>1962</v>
      </c>
      <c r="I92" s="10" t="s">
        <v>1012</v>
      </c>
      <c r="J92" s="43">
        <f>0.25*0.25*0.25</f>
        <v>1.5625E-2</v>
      </c>
      <c r="K92" s="9" t="s">
        <v>865</v>
      </c>
    </row>
    <row r="93" spans="1:33" ht="15.75" customHeight="1" x14ac:dyDescent="0.15">
      <c r="A93" s="62" t="s">
        <v>122</v>
      </c>
      <c r="B93" s="20" t="s">
        <v>356</v>
      </c>
      <c r="C93" s="61" t="s">
        <v>523</v>
      </c>
      <c r="D93" s="52" t="s">
        <v>840</v>
      </c>
      <c r="F93" s="70">
        <v>37</v>
      </c>
      <c r="G93" s="65">
        <v>73</v>
      </c>
      <c r="H93" s="2">
        <v>1890</v>
      </c>
      <c r="I93" s="10" t="s">
        <v>1013</v>
      </c>
      <c r="J93" s="43">
        <f>35*15*15</f>
        <v>7875</v>
      </c>
      <c r="K93" s="45" t="s">
        <v>1418</v>
      </c>
    </row>
    <row r="94" spans="1:33" ht="15.75" customHeight="1" x14ac:dyDescent="0.15">
      <c r="A94" s="62" t="s">
        <v>123</v>
      </c>
      <c r="B94" s="20" t="s">
        <v>357</v>
      </c>
      <c r="C94" s="3" t="s">
        <v>618</v>
      </c>
      <c r="D94" s="6" t="s">
        <v>840</v>
      </c>
      <c r="E94" s="12" t="s">
        <v>1544</v>
      </c>
      <c r="F94" s="42">
        <v>5</v>
      </c>
      <c r="G94" s="39">
        <v>11</v>
      </c>
      <c r="H94" s="2">
        <v>1948</v>
      </c>
      <c r="I94" s="13" t="s">
        <v>974</v>
      </c>
      <c r="J94" s="43">
        <f>1*1*1</f>
        <v>1</v>
      </c>
      <c r="K94" s="12" t="s">
        <v>1419</v>
      </c>
    </row>
    <row r="95" spans="1:33" ht="15.75" customHeight="1" x14ac:dyDescent="0.15">
      <c r="A95" s="62" t="s">
        <v>124</v>
      </c>
      <c r="B95" s="20" t="s">
        <v>358</v>
      </c>
      <c r="C95" s="3" t="s">
        <v>619</v>
      </c>
      <c r="D95" s="6" t="s">
        <v>840</v>
      </c>
      <c r="F95" s="42">
        <v>2</v>
      </c>
      <c r="G95" s="39">
        <v>3</v>
      </c>
      <c r="H95" s="2">
        <v>1956</v>
      </c>
      <c r="I95" s="13" t="s">
        <v>1420</v>
      </c>
      <c r="J95" s="43">
        <f>11*8*8</f>
        <v>704</v>
      </c>
      <c r="K95" s="9" t="s">
        <v>1514</v>
      </c>
      <c r="P95"/>
      <c r="Q95"/>
    </row>
    <row r="96" spans="1:33" ht="15.75" customHeight="1" x14ac:dyDescent="0.15">
      <c r="A96" s="62" t="s">
        <v>125</v>
      </c>
      <c r="B96" s="20" t="s">
        <v>1302</v>
      </c>
      <c r="C96" s="3" t="s">
        <v>620</v>
      </c>
      <c r="D96" s="6" t="s">
        <v>839</v>
      </c>
      <c r="E96" s="32" t="s">
        <v>563</v>
      </c>
      <c r="F96" s="40" t="s">
        <v>877</v>
      </c>
      <c r="G96" s="39">
        <v>2</v>
      </c>
      <c r="H96" s="2">
        <v>1999</v>
      </c>
      <c r="I96" s="10" t="s">
        <v>1014</v>
      </c>
      <c r="J96" s="43">
        <f>0.4*0.4*0.4</f>
        <v>6.4000000000000015E-2</v>
      </c>
      <c r="K96" s="9" t="s">
        <v>1015</v>
      </c>
    </row>
    <row r="97" spans="1:11" ht="15.75" customHeight="1" x14ac:dyDescent="0.15">
      <c r="A97" s="62" t="s">
        <v>126</v>
      </c>
      <c r="B97" s="20" t="s">
        <v>1303</v>
      </c>
      <c r="C97" s="8" t="s">
        <v>621</v>
      </c>
      <c r="D97" s="6" t="s">
        <v>839</v>
      </c>
      <c r="E97" s="32" t="s">
        <v>563</v>
      </c>
      <c r="F97" s="42">
        <v>3</v>
      </c>
      <c r="G97" s="69">
        <v>14</v>
      </c>
      <c r="H97" s="2">
        <v>1903</v>
      </c>
      <c r="I97" s="13" t="s">
        <v>1161</v>
      </c>
      <c r="J97" s="43">
        <f>50*20*20</f>
        <v>20000</v>
      </c>
      <c r="K97" s="45" t="s">
        <v>1421</v>
      </c>
    </row>
    <row r="98" spans="1:11" ht="15.75" customHeight="1" x14ac:dyDescent="0.15">
      <c r="A98" s="62" t="s">
        <v>127</v>
      </c>
      <c r="B98" s="20" t="s">
        <v>359</v>
      </c>
      <c r="C98" s="3" t="s">
        <v>622</v>
      </c>
      <c r="D98" s="6" t="s">
        <v>840</v>
      </c>
      <c r="F98" s="40" t="s">
        <v>877</v>
      </c>
      <c r="G98" s="39">
        <v>1</v>
      </c>
      <c r="H98" s="2">
        <v>1986</v>
      </c>
      <c r="I98" s="10" t="s">
        <v>989</v>
      </c>
      <c r="J98" s="43">
        <f>0.2*0.2*0.2</f>
        <v>8.0000000000000019E-3</v>
      </c>
      <c r="K98" s="9" t="s">
        <v>623</v>
      </c>
    </row>
    <row r="99" spans="1:11" ht="15.75" customHeight="1" x14ac:dyDescent="0.15">
      <c r="A99" s="62" t="s">
        <v>128</v>
      </c>
      <c r="B99" s="20" t="s">
        <v>360</v>
      </c>
      <c r="C99" s="3" t="s">
        <v>624</v>
      </c>
      <c r="D99" s="6" t="s">
        <v>840</v>
      </c>
      <c r="F99" s="42">
        <v>1</v>
      </c>
      <c r="G99" s="39">
        <v>3</v>
      </c>
      <c r="H99" s="2">
        <v>1977</v>
      </c>
      <c r="I99" s="10" t="s">
        <v>949</v>
      </c>
      <c r="J99" s="43">
        <f>0.5*0.5*0.5</f>
        <v>0.125</v>
      </c>
      <c r="K99" s="45" t="s">
        <v>1229</v>
      </c>
    </row>
    <row r="100" spans="1:11" ht="15.75" customHeight="1" x14ac:dyDescent="0.15">
      <c r="A100" s="62" t="s">
        <v>129</v>
      </c>
      <c r="B100" s="20" t="s">
        <v>361</v>
      </c>
      <c r="C100" s="3" t="s">
        <v>625</v>
      </c>
      <c r="D100" s="6" t="s">
        <v>840</v>
      </c>
      <c r="E100" s="32" t="s">
        <v>663</v>
      </c>
      <c r="F100" s="42">
        <v>5</v>
      </c>
      <c r="G100" s="39">
        <v>11</v>
      </c>
      <c r="H100" s="2">
        <v>1937</v>
      </c>
      <c r="I100" s="10" t="s">
        <v>1016</v>
      </c>
      <c r="J100" s="43">
        <f>15*15*10</f>
        <v>2250</v>
      </c>
      <c r="K100" s="9" t="s">
        <v>912</v>
      </c>
    </row>
    <row r="101" spans="1:11" ht="15.75" customHeight="1" x14ac:dyDescent="0.2">
      <c r="A101" s="62" t="s">
        <v>130</v>
      </c>
      <c r="B101" s="20" t="s">
        <v>0</v>
      </c>
      <c r="C101" s="8" t="s">
        <v>581</v>
      </c>
      <c r="D101" s="6" t="s">
        <v>839</v>
      </c>
      <c r="E101" s="32" t="s">
        <v>579</v>
      </c>
      <c r="F101" s="42">
        <v>2</v>
      </c>
      <c r="G101" s="39">
        <v>4</v>
      </c>
      <c r="H101" s="2">
        <v>1971</v>
      </c>
      <c r="I101" s="10" t="s">
        <v>974</v>
      </c>
      <c r="J101" s="43">
        <v>1</v>
      </c>
      <c r="K101" s="9" t="s">
        <v>1017</v>
      </c>
    </row>
    <row r="102" spans="1:11" ht="15.75" customHeight="1" x14ac:dyDescent="0.15">
      <c r="A102" s="62" t="s">
        <v>131</v>
      </c>
      <c r="B102" s="20" t="s">
        <v>362</v>
      </c>
      <c r="C102" s="3" t="s">
        <v>626</v>
      </c>
      <c r="D102" s="6" t="s">
        <v>839</v>
      </c>
      <c r="E102" s="30" t="s">
        <v>1550</v>
      </c>
      <c r="F102" s="42">
        <v>1</v>
      </c>
      <c r="G102" s="39">
        <v>3</v>
      </c>
      <c r="H102" s="2">
        <v>1876</v>
      </c>
      <c r="I102" s="10" t="s">
        <v>1018</v>
      </c>
      <c r="J102" s="43">
        <f>50*30*30</f>
        <v>45000</v>
      </c>
      <c r="K102" s="45" t="s">
        <v>1230</v>
      </c>
    </row>
    <row r="103" spans="1:11" ht="15.75" customHeight="1" x14ac:dyDescent="0.15">
      <c r="A103" s="62" t="s">
        <v>132</v>
      </c>
      <c r="B103" s="20" t="s">
        <v>363</v>
      </c>
      <c r="C103" s="3" t="s">
        <v>627</v>
      </c>
      <c r="D103" s="6" t="s">
        <v>840</v>
      </c>
      <c r="F103" s="42">
        <v>17</v>
      </c>
      <c r="G103" s="39">
        <v>22</v>
      </c>
      <c r="H103" s="2">
        <v>1868</v>
      </c>
      <c r="I103" s="34" t="s">
        <v>1001</v>
      </c>
      <c r="J103" s="34" t="s">
        <v>1001</v>
      </c>
      <c r="K103" s="12" t="s">
        <v>1422</v>
      </c>
    </row>
    <row r="104" spans="1:11" ht="15.75" customHeight="1" x14ac:dyDescent="0.15">
      <c r="A104" s="62" t="s">
        <v>133</v>
      </c>
      <c r="B104" s="20" t="s">
        <v>364</v>
      </c>
      <c r="C104" s="3" t="s">
        <v>628</v>
      </c>
      <c r="D104" s="6" t="s">
        <v>840</v>
      </c>
      <c r="E104" s="32" t="s">
        <v>512</v>
      </c>
      <c r="F104" s="42">
        <v>1</v>
      </c>
      <c r="G104" s="39">
        <v>6</v>
      </c>
      <c r="H104" s="2">
        <v>1908</v>
      </c>
      <c r="I104" s="10" t="s">
        <v>1019</v>
      </c>
      <c r="J104" s="43">
        <f>30*30*10</f>
        <v>9000</v>
      </c>
      <c r="K104" s="9" t="s">
        <v>1020</v>
      </c>
    </row>
    <row r="105" spans="1:11" ht="15.75" customHeight="1" x14ac:dyDescent="0.15">
      <c r="A105" s="62" t="s">
        <v>134</v>
      </c>
      <c r="B105" s="20" t="s">
        <v>1304</v>
      </c>
      <c r="C105" s="3" t="s">
        <v>629</v>
      </c>
      <c r="D105" s="6" t="s">
        <v>839</v>
      </c>
      <c r="E105" s="32" t="s">
        <v>632</v>
      </c>
      <c r="F105" s="40" t="s">
        <v>877</v>
      </c>
      <c r="G105" s="39">
        <v>5</v>
      </c>
      <c r="H105" s="2">
        <v>2007</v>
      </c>
      <c r="I105" s="10" t="s">
        <v>1021</v>
      </c>
      <c r="J105" s="43">
        <f>7*7*2</f>
        <v>98</v>
      </c>
      <c r="K105" s="9" t="s">
        <v>630</v>
      </c>
    </row>
    <row r="106" spans="1:11" ht="15.75" customHeight="1" x14ac:dyDescent="0.15">
      <c r="A106" s="62" t="s">
        <v>135</v>
      </c>
      <c r="B106" s="20" t="s">
        <v>365</v>
      </c>
      <c r="C106" s="3" t="s">
        <v>631</v>
      </c>
      <c r="D106" s="6" t="s">
        <v>840</v>
      </c>
      <c r="F106" s="42">
        <v>1</v>
      </c>
      <c r="G106" s="39">
        <v>3</v>
      </c>
      <c r="H106" s="2">
        <v>1964</v>
      </c>
      <c r="I106" s="46" t="s">
        <v>1022</v>
      </c>
      <c r="J106" s="47">
        <f>0.04*0.04*0.04</f>
        <v>6.4000000000000011E-5</v>
      </c>
      <c r="K106" s="45" t="s">
        <v>1262</v>
      </c>
    </row>
    <row r="107" spans="1:11" ht="15.75" customHeight="1" x14ac:dyDescent="0.15">
      <c r="A107" s="62" t="s">
        <v>136</v>
      </c>
      <c r="B107" s="20" t="s">
        <v>366</v>
      </c>
      <c r="C107" s="61" t="s">
        <v>857</v>
      </c>
      <c r="D107" s="52" t="s">
        <v>839</v>
      </c>
      <c r="E107" s="28" t="s">
        <v>910</v>
      </c>
      <c r="F107" s="42">
        <v>1</v>
      </c>
      <c r="G107" s="39">
        <v>2</v>
      </c>
      <c r="H107" s="2">
        <v>1877</v>
      </c>
      <c r="I107" s="13" t="s">
        <v>1023</v>
      </c>
      <c r="J107" s="43">
        <f>20*20*20</f>
        <v>8000</v>
      </c>
      <c r="K107" s="45" t="s">
        <v>1231</v>
      </c>
    </row>
    <row r="108" spans="1:11" ht="15.75" customHeight="1" x14ac:dyDescent="0.15">
      <c r="A108" s="62" t="s">
        <v>137</v>
      </c>
      <c r="B108" s="20" t="s">
        <v>367</v>
      </c>
      <c r="C108" s="3" t="s">
        <v>633</v>
      </c>
      <c r="D108" s="6" t="s">
        <v>840</v>
      </c>
      <c r="F108" s="70">
        <v>19</v>
      </c>
      <c r="G108" s="65">
        <v>38</v>
      </c>
      <c r="H108" s="2">
        <v>1834</v>
      </c>
      <c r="I108" s="34" t="s">
        <v>1001</v>
      </c>
      <c r="J108" s="34" t="s">
        <v>1001</v>
      </c>
      <c r="K108" s="45" t="s">
        <v>1126</v>
      </c>
    </row>
    <row r="109" spans="1:11" ht="15.75" customHeight="1" x14ac:dyDescent="0.15">
      <c r="A109" s="62" t="s">
        <v>138</v>
      </c>
      <c r="B109" s="20" t="s">
        <v>368</v>
      </c>
      <c r="C109" s="3" t="s">
        <v>634</v>
      </c>
      <c r="D109" s="6" t="s">
        <v>840</v>
      </c>
      <c r="F109" s="42">
        <v>2</v>
      </c>
      <c r="G109" s="39">
        <v>2</v>
      </c>
      <c r="H109" s="2">
        <v>1965</v>
      </c>
      <c r="I109" s="48" t="s">
        <v>1212</v>
      </c>
      <c r="J109" s="49">
        <f>1*0.4*0.4</f>
        <v>0.16000000000000003</v>
      </c>
      <c r="K109" s="45" t="s">
        <v>1423</v>
      </c>
    </row>
    <row r="110" spans="1:11" ht="15.75" customHeight="1" x14ac:dyDescent="0.15">
      <c r="A110" s="62" t="s">
        <v>139</v>
      </c>
      <c r="B110" s="20" t="s">
        <v>369</v>
      </c>
      <c r="C110" s="3" t="s">
        <v>635</v>
      </c>
      <c r="D110" s="6" t="s">
        <v>840</v>
      </c>
      <c r="F110" s="42">
        <v>7</v>
      </c>
      <c r="G110" s="39">
        <v>10</v>
      </c>
      <c r="H110" s="2">
        <v>2007</v>
      </c>
      <c r="I110" s="10" t="s">
        <v>1024</v>
      </c>
      <c r="J110" s="43">
        <f>1.5*0.2*0.2</f>
        <v>6.0000000000000012E-2</v>
      </c>
      <c r="K110" s="9" t="s">
        <v>863</v>
      </c>
    </row>
    <row r="111" spans="1:11" ht="15.75" customHeight="1" x14ac:dyDescent="0.15">
      <c r="A111" s="62" t="s">
        <v>140</v>
      </c>
      <c r="B111" s="20" t="s">
        <v>604</v>
      </c>
      <c r="C111" s="3" t="s">
        <v>608</v>
      </c>
      <c r="D111" s="6" t="s">
        <v>843</v>
      </c>
      <c r="E111" s="32" t="s">
        <v>544</v>
      </c>
      <c r="F111" s="40" t="s">
        <v>877</v>
      </c>
      <c r="G111" s="39">
        <v>2</v>
      </c>
      <c r="H111" s="2">
        <v>2015</v>
      </c>
      <c r="I111" s="10" t="s">
        <v>1025</v>
      </c>
      <c r="J111" s="43">
        <f>0.3*0.3</f>
        <v>0.09</v>
      </c>
      <c r="K111" s="12" t="s">
        <v>1424</v>
      </c>
    </row>
    <row r="112" spans="1:11" ht="15.75" customHeight="1" x14ac:dyDescent="0.15">
      <c r="A112" s="62" t="s">
        <v>141</v>
      </c>
      <c r="B112" s="20" t="s">
        <v>370</v>
      </c>
      <c r="C112" s="8" t="s">
        <v>636</v>
      </c>
      <c r="D112" s="6" t="s">
        <v>840</v>
      </c>
      <c r="E112" s="55"/>
      <c r="F112" s="42">
        <v>2</v>
      </c>
      <c r="G112" s="39">
        <v>3</v>
      </c>
      <c r="H112" s="2">
        <v>1941</v>
      </c>
      <c r="I112" s="10" t="s">
        <v>1023</v>
      </c>
      <c r="J112" s="43">
        <f>20*20*20</f>
        <v>8000</v>
      </c>
      <c r="K112" s="9" t="s">
        <v>1026</v>
      </c>
    </row>
    <row r="113" spans="1:11" ht="15.75" customHeight="1" x14ac:dyDescent="0.15">
      <c r="A113" s="62" t="s">
        <v>142</v>
      </c>
      <c r="B113" s="20" t="s">
        <v>371</v>
      </c>
      <c r="C113" s="8" t="s">
        <v>637</v>
      </c>
      <c r="D113" s="6" t="s">
        <v>840</v>
      </c>
      <c r="E113" s="12" t="s">
        <v>664</v>
      </c>
      <c r="F113" s="42">
        <v>7</v>
      </c>
      <c r="G113" s="39">
        <v>12</v>
      </c>
      <c r="H113" s="2">
        <v>1937</v>
      </c>
      <c r="I113" s="34" t="s">
        <v>1001</v>
      </c>
      <c r="J113" s="34" t="s">
        <v>1001</v>
      </c>
      <c r="K113" s="9" t="s">
        <v>1027</v>
      </c>
    </row>
    <row r="114" spans="1:11" ht="15.75" customHeight="1" x14ac:dyDescent="0.15">
      <c r="A114" s="62" t="s">
        <v>143</v>
      </c>
      <c r="B114" s="20" t="s">
        <v>372</v>
      </c>
      <c r="C114" s="3" t="s">
        <v>638</v>
      </c>
      <c r="D114" s="6" t="s">
        <v>840</v>
      </c>
      <c r="F114" s="42">
        <v>13</v>
      </c>
      <c r="G114" s="39">
        <v>17</v>
      </c>
      <c r="H114" s="2">
        <v>1914</v>
      </c>
      <c r="I114" s="13" t="s">
        <v>1430</v>
      </c>
      <c r="J114" s="51">
        <f>13*33*33</f>
        <v>14157</v>
      </c>
      <c r="K114" s="45" t="s">
        <v>1510</v>
      </c>
    </row>
    <row r="115" spans="1:11" ht="15.75" customHeight="1" x14ac:dyDescent="0.15">
      <c r="A115" s="62" t="s">
        <v>144</v>
      </c>
      <c r="B115" s="20" t="s">
        <v>373</v>
      </c>
      <c r="C115" s="3" t="s">
        <v>639</v>
      </c>
      <c r="D115" s="6" t="s">
        <v>840</v>
      </c>
      <c r="F115" s="40" t="s">
        <v>877</v>
      </c>
      <c r="G115" s="39">
        <v>2</v>
      </c>
      <c r="H115" s="2">
        <v>1986</v>
      </c>
      <c r="I115" s="44" t="s">
        <v>1028</v>
      </c>
      <c r="J115" s="43">
        <f>0.1*0.1*0.005</f>
        <v>5.0000000000000009E-5</v>
      </c>
      <c r="K115" s="9" t="s">
        <v>914</v>
      </c>
    </row>
    <row r="116" spans="1:11" ht="15.75" customHeight="1" x14ac:dyDescent="0.15">
      <c r="A116" s="62" t="s">
        <v>145</v>
      </c>
      <c r="B116" s="20" t="s">
        <v>602</v>
      </c>
      <c r="C116" s="3" t="s">
        <v>603</v>
      </c>
      <c r="D116" s="6" t="s">
        <v>839</v>
      </c>
      <c r="F116" s="40" t="s">
        <v>877</v>
      </c>
      <c r="G116" s="39">
        <v>1</v>
      </c>
      <c r="H116" s="2">
        <v>2014</v>
      </c>
      <c r="I116" s="10" t="s">
        <v>1029</v>
      </c>
      <c r="J116" s="43">
        <f>1*0.5</f>
        <v>0.5</v>
      </c>
      <c r="K116" s="9" t="s">
        <v>864</v>
      </c>
    </row>
    <row r="117" spans="1:11" ht="15.75" customHeight="1" x14ac:dyDescent="0.15">
      <c r="A117" s="62" t="s">
        <v>146</v>
      </c>
      <c r="B117" s="20" t="s">
        <v>374</v>
      </c>
      <c r="C117" s="3" t="s">
        <v>640</v>
      </c>
      <c r="D117" s="6" t="s">
        <v>840</v>
      </c>
      <c r="F117" s="40" t="s">
        <v>877</v>
      </c>
      <c r="G117" s="39">
        <v>1</v>
      </c>
      <c r="H117" s="6">
        <v>2004</v>
      </c>
      <c r="I117" s="10" t="s">
        <v>1030</v>
      </c>
      <c r="J117" s="43">
        <f>0.5*0.02*0.02</f>
        <v>2.0000000000000001E-4</v>
      </c>
      <c r="K117" s="12" t="s">
        <v>1232</v>
      </c>
    </row>
    <row r="118" spans="1:11" ht="15.75" customHeight="1" x14ac:dyDescent="0.15">
      <c r="A118" s="62" t="s">
        <v>147</v>
      </c>
      <c r="B118" s="20" t="s">
        <v>375</v>
      </c>
      <c r="C118" s="3" t="s">
        <v>641</v>
      </c>
      <c r="D118" s="6" t="s">
        <v>839</v>
      </c>
      <c r="F118" s="40" t="s">
        <v>877</v>
      </c>
      <c r="G118" s="39">
        <v>1</v>
      </c>
      <c r="H118" s="6">
        <v>2007</v>
      </c>
      <c r="I118" s="44" t="s">
        <v>1031</v>
      </c>
      <c r="J118" s="43">
        <f>0.01*0.01*0.005</f>
        <v>5.0000000000000008E-7</v>
      </c>
      <c r="K118" s="9" t="s">
        <v>642</v>
      </c>
    </row>
    <row r="119" spans="1:11" ht="15.75" customHeight="1" x14ac:dyDescent="0.15">
      <c r="A119" s="62" t="s">
        <v>148</v>
      </c>
      <c r="B119" s="20" t="s">
        <v>376</v>
      </c>
      <c r="C119" s="3" t="s">
        <v>643</v>
      </c>
      <c r="D119" s="6" t="s">
        <v>840</v>
      </c>
      <c r="F119" s="40" t="s">
        <v>877</v>
      </c>
      <c r="G119" s="39">
        <v>2</v>
      </c>
      <c r="H119" s="2">
        <v>2004</v>
      </c>
      <c r="I119" s="10" t="s">
        <v>981</v>
      </c>
      <c r="J119" s="43">
        <f>15*2*2</f>
        <v>60</v>
      </c>
      <c r="K119" s="9" t="s">
        <v>870</v>
      </c>
    </row>
    <row r="120" spans="1:11" ht="15.75" customHeight="1" x14ac:dyDescent="0.15">
      <c r="A120" s="62" t="s">
        <v>149</v>
      </c>
      <c r="B120" s="20" t="s">
        <v>30</v>
      </c>
      <c r="C120" s="3" t="s">
        <v>644</v>
      </c>
      <c r="D120" s="6" t="s">
        <v>840</v>
      </c>
      <c r="F120" s="42">
        <v>2</v>
      </c>
      <c r="G120" s="39">
        <v>13</v>
      </c>
      <c r="H120" s="2">
        <v>1883</v>
      </c>
      <c r="I120" s="13" t="s">
        <v>1431</v>
      </c>
      <c r="J120" s="43">
        <f>47*10*10</f>
        <v>4700</v>
      </c>
      <c r="K120" s="50" t="s">
        <v>1233</v>
      </c>
    </row>
    <row r="121" spans="1:11" ht="15.75" customHeight="1" x14ac:dyDescent="0.15">
      <c r="A121" s="62" t="s">
        <v>150</v>
      </c>
      <c r="B121" s="20" t="s">
        <v>377</v>
      </c>
      <c r="C121" s="3" t="s">
        <v>645</v>
      </c>
      <c r="D121" s="6" t="s">
        <v>840</v>
      </c>
      <c r="E121" s="12" t="s">
        <v>1563</v>
      </c>
      <c r="F121" s="42">
        <v>2</v>
      </c>
      <c r="G121" s="39">
        <v>3</v>
      </c>
      <c r="H121" s="2">
        <v>1963</v>
      </c>
      <c r="I121" s="10" t="s">
        <v>1032</v>
      </c>
      <c r="J121" s="43">
        <f>5*5*5</f>
        <v>125</v>
      </c>
      <c r="K121" s="12" t="s">
        <v>1425</v>
      </c>
    </row>
    <row r="122" spans="1:11" ht="15.75" customHeight="1" x14ac:dyDescent="0.15">
      <c r="A122" s="62" t="s">
        <v>151</v>
      </c>
      <c r="B122" s="20" t="s">
        <v>29</v>
      </c>
      <c r="C122" s="3" t="s">
        <v>646</v>
      </c>
      <c r="D122" s="6" t="s">
        <v>840</v>
      </c>
      <c r="F122" s="42">
        <v>1</v>
      </c>
      <c r="G122" s="39">
        <v>2</v>
      </c>
      <c r="H122" s="2">
        <v>1942</v>
      </c>
      <c r="I122" s="10" t="s">
        <v>1033</v>
      </c>
      <c r="J122" s="43">
        <f>10*10</f>
        <v>100</v>
      </c>
      <c r="K122" s="12" t="s">
        <v>1426</v>
      </c>
    </row>
    <row r="123" spans="1:11" ht="15.75" customHeight="1" x14ac:dyDescent="0.15">
      <c r="A123" s="62" t="s">
        <v>152</v>
      </c>
      <c r="B123" s="20" t="s">
        <v>378</v>
      </c>
      <c r="C123" s="3" t="s">
        <v>647</v>
      </c>
      <c r="D123" s="6" t="s">
        <v>840</v>
      </c>
      <c r="F123" s="40" t="s">
        <v>877</v>
      </c>
      <c r="G123" s="39">
        <v>1</v>
      </c>
      <c r="H123" s="2">
        <v>1980</v>
      </c>
      <c r="I123" s="10" t="s">
        <v>987</v>
      </c>
      <c r="J123" s="43">
        <v>8</v>
      </c>
      <c r="K123" s="9" t="s">
        <v>648</v>
      </c>
    </row>
    <row r="124" spans="1:11" ht="15.75" customHeight="1" x14ac:dyDescent="0.15">
      <c r="A124" s="62" t="s">
        <v>153</v>
      </c>
      <c r="B124" s="20" t="s">
        <v>379</v>
      </c>
      <c r="C124" s="3" t="s">
        <v>649</v>
      </c>
      <c r="D124" s="6" t="s">
        <v>840</v>
      </c>
      <c r="F124" s="42">
        <v>10</v>
      </c>
      <c r="G124" s="39">
        <v>13</v>
      </c>
      <c r="H124" s="2">
        <v>1889</v>
      </c>
      <c r="I124" s="34" t="s">
        <v>1001</v>
      </c>
      <c r="J124" s="34" t="s">
        <v>1001</v>
      </c>
      <c r="K124" s="45" t="s">
        <v>1158</v>
      </c>
    </row>
    <row r="125" spans="1:11" ht="15.75" customHeight="1" x14ac:dyDescent="0.15">
      <c r="A125" s="62" t="s">
        <v>154</v>
      </c>
      <c r="B125" s="20" t="s">
        <v>1305</v>
      </c>
      <c r="C125" s="3" t="s">
        <v>650</v>
      </c>
      <c r="D125" s="6" t="s">
        <v>839</v>
      </c>
      <c r="E125" s="9" t="s">
        <v>1566</v>
      </c>
      <c r="F125" s="40" t="s">
        <v>877</v>
      </c>
      <c r="G125" s="39">
        <v>1</v>
      </c>
      <c r="H125" s="2">
        <v>2000</v>
      </c>
      <c r="I125" s="34" t="s">
        <v>1001</v>
      </c>
      <c r="J125" s="34" t="s">
        <v>1001</v>
      </c>
      <c r="K125" s="12" t="s">
        <v>651</v>
      </c>
    </row>
    <row r="126" spans="1:11" ht="15.75" customHeight="1" x14ac:dyDescent="0.15">
      <c r="A126" s="62" t="s">
        <v>155</v>
      </c>
      <c r="B126" s="20" t="s">
        <v>31</v>
      </c>
      <c r="C126" s="3" t="s">
        <v>652</v>
      </c>
      <c r="D126" s="6" t="s">
        <v>840</v>
      </c>
      <c r="F126" s="40" t="s">
        <v>877</v>
      </c>
      <c r="G126" s="39">
        <v>4</v>
      </c>
      <c r="H126" s="2">
        <v>1981</v>
      </c>
      <c r="I126" s="13" t="s">
        <v>1427</v>
      </c>
      <c r="J126" s="43">
        <f>10*0.04*0.04</f>
        <v>1.6E-2</v>
      </c>
      <c r="K126" s="9" t="s">
        <v>872</v>
      </c>
    </row>
    <row r="127" spans="1:11" ht="15.75" customHeight="1" x14ac:dyDescent="0.15">
      <c r="A127" s="62" t="s">
        <v>156</v>
      </c>
      <c r="B127" s="20" t="s">
        <v>380</v>
      </c>
      <c r="C127" s="15" t="s">
        <v>653</v>
      </c>
      <c r="D127" s="6" t="s">
        <v>839</v>
      </c>
      <c r="E127" s="28"/>
      <c r="F127" s="40" t="s">
        <v>877</v>
      </c>
      <c r="G127" s="39">
        <v>1</v>
      </c>
      <c r="H127" s="2">
        <v>2012</v>
      </c>
      <c r="I127" s="10" t="s">
        <v>1034</v>
      </c>
      <c r="J127" s="43">
        <f>6*0.02*0.02</f>
        <v>2.3999999999999998E-3</v>
      </c>
      <c r="K127" s="9" t="s">
        <v>1035</v>
      </c>
    </row>
    <row r="128" spans="1:11" ht="15.75" customHeight="1" x14ac:dyDescent="0.15">
      <c r="A128" s="62" t="s">
        <v>157</v>
      </c>
      <c r="B128" s="20" t="s">
        <v>381</v>
      </c>
      <c r="C128" s="3" t="s">
        <v>654</v>
      </c>
      <c r="D128" s="6" t="s">
        <v>840</v>
      </c>
      <c r="F128" s="42">
        <v>3</v>
      </c>
      <c r="G128" s="39">
        <v>3</v>
      </c>
      <c r="H128" s="2">
        <v>1927</v>
      </c>
      <c r="I128" s="10" t="s">
        <v>1036</v>
      </c>
      <c r="J128" s="43">
        <f>2*2.5*6*25.4*25.4*25.4</f>
        <v>491611.91999999993</v>
      </c>
      <c r="K128" s="9" t="s">
        <v>873</v>
      </c>
    </row>
    <row r="129" spans="1:11" ht="15.75" customHeight="1" x14ac:dyDescent="0.15">
      <c r="A129" s="62" t="s">
        <v>158</v>
      </c>
      <c r="B129" s="20" t="s">
        <v>866</v>
      </c>
      <c r="C129" s="61" t="s">
        <v>867</v>
      </c>
      <c r="D129" s="6" t="s">
        <v>839</v>
      </c>
      <c r="E129" s="12" t="s">
        <v>911</v>
      </c>
      <c r="F129" s="40" t="s">
        <v>877</v>
      </c>
      <c r="G129" s="39">
        <v>2</v>
      </c>
      <c r="H129" s="2">
        <v>2015</v>
      </c>
      <c r="I129" s="10" t="s">
        <v>1037</v>
      </c>
      <c r="J129" s="43">
        <f>0.1*0.1*0.1</f>
        <v>1.0000000000000002E-3</v>
      </c>
      <c r="K129" s="9" t="s">
        <v>868</v>
      </c>
    </row>
    <row r="130" spans="1:11" ht="15.75" customHeight="1" x14ac:dyDescent="0.15">
      <c r="A130" s="62" t="s">
        <v>159</v>
      </c>
      <c r="B130" s="20" t="s">
        <v>382</v>
      </c>
      <c r="C130" s="3" t="s">
        <v>655</v>
      </c>
      <c r="D130" s="6" t="s">
        <v>839</v>
      </c>
      <c r="E130" s="12" t="s">
        <v>1568</v>
      </c>
      <c r="F130" s="40" t="s">
        <v>877</v>
      </c>
      <c r="G130" s="39">
        <v>1</v>
      </c>
      <c r="H130" s="2">
        <v>2012</v>
      </c>
      <c r="I130" s="10" t="s">
        <v>1038</v>
      </c>
      <c r="J130" s="43">
        <f>0.08*0.08*0.08</f>
        <v>5.1200000000000009E-4</v>
      </c>
      <c r="K130" s="9" t="s">
        <v>1039</v>
      </c>
    </row>
    <row r="131" spans="1:11" ht="15.75" customHeight="1" x14ac:dyDescent="0.15">
      <c r="A131" s="62" t="s">
        <v>160</v>
      </c>
      <c r="B131" s="20" t="s">
        <v>383</v>
      </c>
      <c r="C131" s="3" t="s">
        <v>656</v>
      </c>
      <c r="D131" s="6" t="s">
        <v>841</v>
      </c>
      <c r="F131" s="40" t="s">
        <v>877</v>
      </c>
      <c r="G131" s="39">
        <v>1</v>
      </c>
      <c r="H131" s="2">
        <v>2008</v>
      </c>
      <c r="I131" s="10" t="s">
        <v>977</v>
      </c>
      <c r="J131" s="43">
        <f>0.1*0.1*0.1</f>
        <v>1.0000000000000002E-3</v>
      </c>
      <c r="K131" s="9" t="s">
        <v>657</v>
      </c>
    </row>
    <row r="132" spans="1:11" ht="15.75" customHeight="1" x14ac:dyDescent="0.15">
      <c r="A132" s="62" t="s">
        <v>161</v>
      </c>
      <c r="B132" s="20" t="s">
        <v>1428</v>
      </c>
      <c r="C132" s="8" t="s">
        <v>659</v>
      </c>
      <c r="D132" s="6" t="s">
        <v>839</v>
      </c>
      <c r="E132" s="12" t="s">
        <v>1551</v>
      </c>
      <c r="F132" s="42">
        <v>30</v>
      </c>
      <c r="G132" s="39">
        <v>23</v>
      </c>
      <c r="H132" s="2">
        <v>1886</v>
      </c>
      <c r="I132" s="10" t="s">
        <v>1040</v>
      </c>
      <c r="J132" s="43">
        <f>10</f>
        <v>10</v>
      </c>
      <c r="K132" s="12" t="s">
        <v>1429</v>
      </c>
    </row>
    <row r="133" spans="1:11" ht="15.75" customHeight="1" x14ac:dyDescent="0.15">
      <c r="A133" s="62" t="s">
        <v>162</v>
      </c>
      <c r="B133" s="20" t="s">
        <v>384</v>
      </c>
      <c r="C133" s="3" t="s">
        <v>660</v>
      </c>
      <c r="D133" s="6" t="s">
        <v>840</v>
      </c>
      <c r="F133" s="42">
        <v>1</v>
      </c>
      <c r="G133" s="39">
        <v>2</v>
      </c>
      <c r="H133" s="2">
        <v>1963</v>
      </c>
      <c r="I133" s="13" t="s">
        <v>985</v>
      </c>
      <c r="J133" s="43">
        <f>0.3*0.3*0.3</f>
        <v>2.7E-2</v>
      </c>
      <c r="K133" s="45" t="s">
        <v>1432</v>
      </c>
    </row>
    <row r="134" spans="1:11" ht="15.75" customHeight="1" x14ac:dyDescent="0.15">
      <c r="A134" s="62" t="s">
        <v>163</v>
      </c>
      <c r="B134" s="20" t="s">
        <v>385</v>
      </c>
      <c r="C134" s="3" t="s">
        <v>661</v>
      </c>
      <c r="D134" s="6" t="s">
        <v>840</v>
      </c>
      <c r="E134" s="12" t="s">
        <v>1564</v>
      </c>
      <c r="F134" s="42">
        <v>12</v>
      </c>
      <c r="G134" s="39">
        <v>22</v>
      </c>
      <c r="H134" s="2">
        <v>1939</v>
      </c>
      <c r="I134" s="10" t="s">
        <v>1041</v>
      </c>
      <c r="J134" s="43">
        <f>0.15*0.15*0.15</f>
        <v>3.375E-3</v>
      </c>
      <c r="K134" s="9" t="s">
        <v>1042</v>
      </c>
    </row>
    <row r="135" spans="1:11" ht="15.75" customHeight="1" x14ac:dyDescent="0.15">
      <c r="A135" s="62" t="s">
        <v>164</v>
      </c>
      <c r="B135" s="20" t="s">
        <v>386</v>
      </c>
      <c r="C135" s="3" t="s">
        <v>566</v>
      </c>
      <c r="D135" s="6" t="s">
        <v>840</v>
      </c>
      <c r="E135" s="30" t="s">
        <v>572</v>
      </c>
      <c r="F135" s="42">
        <v>1</v>
      </c>
      <c r="G135" s="39">
        <v>2</v>
      </c>
      <c r="H135" s="2">
        <v>1966</v>
      </c>
      <c r="I135" s="10" t="s">
        <v>1043</v>
      </c>
      <c r="J135" s="43">
        <f>4*3*3</f>
        <v>36</v>
      </c>
      <c r="K135" s="9" t="s">
        <v>1044</v>
      </c>
    </row>
    <row r="136" spans="1:11" ht="15.75" customHeight="1" x14ac:dyDescent="0.15">
      <c r="A136" s="62" t="s">
        <v>165</v>
      </c>
      <c r="B136" s="20" t="s">
        <v>387</v>
      </c>
      <c r="C136" s="3" t="s">
        <v>662</v>
      </c>
      <c r="D136" s="6" t="s">
        <v>840</v>
      </c>
      <c r="E136" s="32" t="s">
        <v>663</v>
      </c>
      <c r="F136" s="42">
        <v>3</v>
      </c>
      <c r="G136" s="39">
        <v>7</v>
      </c>
      <c r="H136" s="2">
        <v>1952</v>
      </c>
      <c r="I136" s="13" t="s">
        <v>985</v>
      </c>
      <c r="J136" s="43">
        <f>0.3*0.3*0.3</f>
        <v>2.7E-2</v>
      </c>
      <c r="K136" s="45" t="s">
        <v>1511</v>
      </c>
    </row>
    <row r="137" spans="1:11" ht="15.75" customHeight="1" x14ac:dyDescent="0.15">
      <c r="A137" s="62" t="s">
        <v>166</v>
      </c>
      <c r="B137" s="20" t="s">
        <v>388</v>
      </c>
      <c r="C137" s="8" t="s">
        <v>637</v>
      </c>
      <c r="D137" s="6" t="s">
        <v>840</v>
      </c>
      <c r="E137" s="30" t="s">
        <v>665</v>
      </c>
      <c r="F137" s="42">
        <v>5</v>
      </c>
      <c r="G137" s="39">
        <v>12</v>
      </c>
      <c r="H137" s="2">
        <v>1940</v>
      </c>
      <c r="I137" s="10" t="s">
        <v>974</v>
      </c>
      <c r="J137" s="43">
        <v>1</v>
      </c>
      <c r="K137" s="45" t="s">
        <v>1045</v>
      </c>
    </row>
    <row r="138" spans="1:11" ht="15.75" customHeight="1" x14ac:dyDescent="0.15">
      <c r="A138" s="62" t="s">
        <v>167</v>
      </c>
      <c r="B138" s="20" t="s">
        <v>1306</v>
      </c>
      <c r="C138" s="3" t="s">
        <v>666</v>
      </c>
      <c r="D138" s="6" t="s">
        <v>839</v>
      </c>
      <c r="E138" s="32" t="s">
        <v>632</v>
      </c>
      <c r="F138" s="40" t="s">
        <v>877</v>
      </c>
      <c r="G138" s="39">
        <v>2</v>
      </c>
      <c r="H138" s="2">
        <v>2013</v>
      </c>
      <c r="I138" s="10" t="s">
        <v>1046</v>
      </c>
      <c r="J138" s="43">
        <f>10*10*10</f>
        <v>1000</v>
      </c>
      <c r="K138" s="9" t="s">
        <v>875</v>
      </c>
    </row>
    <row r="139" spans="1:11" ht="15.75" customHeight="1" x14ac:dyDescent="0.15">
      <c r="A139" s="62" t="s">
        <v>168</v>
      </c>
      <c r="B139" s="20" t="s">
        <v>389</v>
      </c>
      <c r="C139" s="3" t="s">
        <v>667</v>
      </c>
      <c r="D139" s="6" t="s">
        <v>840</v>
      </c>
      <c r="F139" s="42">
        <v>1</v>
      </c>
      <c r="G139" s="39">
        <v>2</v>
      </c>
      <c r="H139" s="2">
        <v>1854</v>
      </c>
      <c r="I139" s="34" t="s">
        <v>1001</v>
      </c>
      <c r="J139" s="34" t="s">
        <v>1001</v>
      </c>
      <c r="K139" s="45" t="s">
        <v>1234</v>
      </c>
    </row>
    <row r="140" spans="1:11" ht="15.75" customHeight="1" x14ac:dyDescent="0.15">
      <c r="A140" s="62" t="s">
        <v>169</v>
      </c>
      <c r="B140" s="20" t="s">
        <v>34</v>
      </c>
      <c r="C140" s="3" t="s">
        <v>668</v>
      </c>
      <c r="D140" s="6" t="s">
        <v>839</v>
      </c>
      <c r="F140" s="42">
        <v>8</v>
      </c>
      <c r="G140" s="39">
        <v>11</v>
      </c>
      <c r="H140" s="2">
        <v>1901</v>
      </c>
      <c r="I140" s="10" t="s">
        <v>1213</v>
      </c>
      <c r="J140" s="43">
        <f>5*2*2</f>
        <v>20</v>
      </c>
      <c r="K140" s="28" t="s">
        <v>1235</v>
      </c>
    </row>
    <row r="141" spans="1:11" ht="15.75" customHeight="1" x14ac:dyDescent="0.15">
      <c r="A141" s="62" t="s">
        <v>170</v>
      </c>
      <c r="B141" s="20" t="s">
        <v>390</v>
      </c>
      <c r="C141" s="3" t="s">
        <v>669</v>
      </c>
      <c r="D141" s="6" t="s">
        <v>840</v>
      </c>
      <c r="E141" s="32" t="s">
        <v>663</v>
      </c>
      <c r="F141" s="40" t="s">
        <v>877</v>
      </c>
      <c r="G141" s="39">
        <v>1</v>
      </c>
      <c r="H141" s="2">
        <v>2010</v>
      </c>
      <c r="I141" s="13" t="s">
        <v>1400</v>
      </c>
      <c r="J141" s="43">
        <f>0.2*0.1*0.1</f>
        <v>2.0000000000000005E-3</v>
      </c>
      <c r="K141" s="12" t="s">
        <v>1433</v>
      </c>
    </row>
    <row r="142" spans="1:11" ht="15.75" customHeight="1" x14ac:dyDescent="0.15">
      <c r="A142" s="62" t="s">
        <v>171</v>
      </c>
      <c r="B142" s="18" t="s">
        <v>15</v>
      </c>
      <c r="C142" s="8" t="s">
        <v>815</v>
      </c>
      <c r="D142" s="6" t="s">
        <v>839</v>
      </c>
      <c r="E142" s="32" t="s">
        <v>495</v>
      </c>
      <c r="F142" s="40" t="s">
        <v>877</v>
      </c>
      <c r="G142" s="39">
        <v>10</v>
      </c>
      <c r="H142" s="10">
        <v>1999</v>
      </c>
      <c r="I142" s="34" t="s">
        <v>1001</v>
      </c>
      <c r="J142" s="34" t="s">
        <v>1001</v>
      </c>
      <c r="K142" s="12" t="s">
        <v>1384</v>
      </c>
    </row>
    <row r="143" spans="1:11" ht="15.75" customHeight="1" x14ac:dyDescent="0.15">
      <c r="A143" s="62" t="s">
        <v>172</v>
      </c>
      <c r="B143" s="20" t="s">
        <v>391</v>
      </c>
      <c r="C143" s="3" t="s">
        <v>670</v>
      </c>
      <c r="D143" s="6" t="s">
        <v>839</v>
      </c>
      <c r="F143" s="40" t="s">
        <v>877</v>
      </c>
      <c r="G143" s="39">
        <v>1</v>
      </c>
      <c r="H143" s="2">
        <v>2000</v>
      </c>
      <c r="I143" s="10" t="s">
        <v>949</v>
      </c>
      <c r="J143" s="43">
        <f>0.5*0.5*0.5</f>
        <v>0.125</v>
      </c>
      <c r="K143" s="9" t="s">
        <v>671</v>
      </c>
    </row>
    <row r="144" spans="1:11" ht="15.75" customHeight="1" x14ac:dyDescent="0.15">
      <c r="A144" s="62" t="s">
        <v>173</v>
      </c>
      <c r="B144" s="20" t="s">
        <v>392</v>
      </c>
      <c r="C144" s="61" t="s">
        <v>521</v>
      </c>
      <c r="D144" s="52" t="s">
        <v>840</v>
      </c>
      <c r="F144" s="39">
        <v>1</v>
      </c>
      <c r="G144" s="39">
        <v>4</v>
      </c>
      <c r="H144" s="2">
        <v>2001</v>
      </c>
      <c r="I144" s="10" t="s">
        <v>1046</v>
      </c>
      <c r="J144" s="43">
        <f>10*10*10</f>
        <v>1000</v>
      </c>
      <c r="K144" s="9" t="s">
        <v>1047</v>
      </c>
    </row>
    <row r="145" spans="1:11" ht="15.75" customHeight="1" x14ac:dyDescent="0.15">
      <c r="A145" s="62" t="s">
        <v>174</v>
      </c>
      <c r="B145" s="24" t="s">
        <v>925</v>
      </c>
      <c r="C145" s="8" t="s">
        <v>924</v>
      </c>
      <c r="D145" s="6" t="s">
        <v>839</v>
      </c>
      <c r="E145" s="12" t="s">
        <v>495</v>
      </c>
      <c r="F145" s="40" t="s">
        <v>877</v>
      </c>
      <c r="G145" s="39">
        <v>3</v>
      </c>
      <c r="H145" s="2">
        <v>2017</v>
      </c>
      <c r="I145" s="13" t="s">
        <v>1032</v>
      </c>
      <c r="J145" s="43">
        <f>5*5*5</f>
        <v>125</v>
      </c>
      <c r="K145" s="12" t="s">
        <v>1458</v>
      </c>
    </row>
    <row r="146" spans="1:11" ht="15.75" customHeight="1" x14ac:dyDescent="0.15">
      <c r="A146" s="62" t="s">
        <v>175</v>
      </c>
      <c r="B146" s="20" t="s">
        <v>393</v>
      </c>
      <c r="C146" s="8" t="s">
        <v>673</v>
      </c>
      <c r="D146" s="6" t="s">
        <v>840</v>
      </c>
      <c r="E146" s="32" t="s">
        <v>511</v>
      </c>
      <c r="F146" s="70">
        <v>67</v>
      </c>
      <c r="G146" s="65">
        <v>134</v>
      </c>
      <c r="H146" s="2">
        <v>1874</v>
      </c>
      <c r="I146" s="13" t="s">
        <v>1146</v>
      </c>
      <c r="J146" s="51">
        <f>80</f>
        <v>80</v>
      </c>
      <c r="K146" s="45" t="s">
        <v>1145</v>
      </c>
    </row>
    <row r="147" spans="1:11" ht="15.75" customHeight="1" x14ac:dyDescent="0.2">
      <c r="A147" s="62" t="s">
        <v>176</v>
      </c>
      <c r="B147" s="20" t="s">
        <v>676</v>
      </c>
      <c r="C147" s="8" t="s">
        <v>675</v>
      </c>
      <c r="D147" s="6" t="s">
        <v>839</v>
      </c>
      <c r="E147" s="12" t="s">
        <v>495</v>
      </c>
      <c r="F147" s="40" t="s">
        <v>877</v>
      </c>
      <c r="G147" s="39">
        <v>2</v>
      </c>
      <c r="H147" s="2">
        <v>2013</v>
      </c>
      <c r="I147" s="34" t="s">
        <v>1001</v>
      </c>
      <c r="J147" s="34" t="s">
        <v>1001</v>
      </c>
      <c r="K147" s="9" t="s">
        <v>1236</v>
      </c>
    </row>
    <row r="148" spans="1:11" ht="15.75" customHeight="1" x14ac:dyDescent="0.2">
      <c r="A148" s="62" t="s">
        <v>177</v>
      </c>
      <c r="B148" s="20" t="s">
        <v>1307</v>
      </c>
      <c r="C148" s="8" t="s">
        <v>674</v>
      </c>
      <c r="D148" s="6" t="s">
        <v>839</v>
      </c>
      <c r="E148" s="30" t="s">
        <v>495</v>
      </c>
      <c r="F148" s="40" t="s">
        <v>877</v>
      </c>
      <c r="G148" s="39">
        <v>7</v>
      </c>
      <c r="H148" s="2">
        <v>2013</v>
      </c>
      <c r="I148" s="46" t="s">
        <v>1048</v>
      </c>
      <c r="J148" s="47">
        <f>4*0.4*0.4</f>
        <v>0.64000000000000012</v>
      </c>
      <c r="K148" s="9" t="s">
        <v>1236</v>
      </c>
    </row>
    <row r="149" spans="1:11" ht="15.75" customHeight="1" x14ac:dyDescent="0.15">
      <c r="A149" s="62" t="s">
        <v>178</v>
      </c>
      <c r="B149" s="20" t="s">
        <v>678</v>
      </c>
      <c r="C149" s="3" t="s">
        <v>677</v>
      </c>
      <c r="D149" s="6" t="s">
        <v>840</v>
      </c>
      <c r="E149" s="55"/>
      <c r="F149" s="42">
        <v>10</v>
      </c>
      <c r="G149" s="39">
        <v>15</v>
      </c>
      <c r="H149" s="2">
        <v>1870</v>
      </c>
      <c r="I149" s="34" t="s">
        <v>1001</v>
      </c>
      <c r="J149" s="34" t="s">
        <v>1001</v>
      </c>
      <c r="K149" s="45" t="s">
        <v>1175</v>
      </c>
    </row>
    <row r="150" spans="1:11" ht="15.75" customHeight="1" x14ac:dyDescent="0.15">
      <c r="A150" s="62" t="s">
        <v>179</v>
      </c>
      <c r="B150" s="20" t="s">
        <v>19</v>
      </c>
      <c r="C150" s="3" t="s">
        <v>580</v>
      </c>
      <c r="D150" s="6" t="s">
        <v>839</v>
      </c>
      <c r="E150" s="32" t="s">
        <v>579</v>
      </c>
      <c r="F150" s="40" t="s">
        <v>877</v>
      </c>
      <c r="G150" s="39">
        <v>2</v>
      </c>
      <c r="H150" s="2">
        <v>1995</v>
      </c>
      <c r="I150" s="10" t="s">
        <v>985</v>
      </c>
      <c r="J150" s="43">
        <f>0.3*0.3*0.3</f>
        <v>2.7E-2</v>
      </c>
      <c r="K150" s="9" t="s">
        <v>874</v>
      </c>
    </row>
    <row r="151" spans="1:11" ht="15.75" customHeight="1" x14ac:dyDescent="0.2">
      <c r="A151" s="62" t="s">
        <v>180</v>
      </c>
      <c r="B151" s="20" t="s">
        <v>394</v>
      </c>
      <c r="C151" s="8" t="s">
        <v>679</v>
      </c>
      <c r="D151" s="6" t="s">
        <v>839</v>
      </c>
      <c r="E151" s="30" t="s">
        <v>495</v>
      </c>
      <c r="F151" s="40" t="s">
        <v>877</v>
      </c>
      <c r="G151" s="39">
        <v>21</v>
      </c>
      <c r="H151" s="2">
        <v>1999</v>
      </c>
      <c r="I151" s="10" t="s">
        <v>1049</v>
      </c>
      <c r="J151" s="43">
        <f>0.015*0.015</f>
        <v>2.2499999999999999E-4</v>
      </c>
      <c r="K151" s="9" t="s">
        <v>871</v>
      </c>
    </row>
    <row r="152" spans="1:11" ht="15.75" customHeight="1" x14ac:dyDescent="0.15">
      <c r="A152" s="62" t="s">
        <v>181</v>
      </c>
      <c r="B152" s="20" t="s">
        <v>395</v>
      </c>
      <c r="C152" s="8" t="s">
        <v>673</v>
      </c>
      <c r="D152" s="6" t="s">
        <v>840</v>
      </c>
      <c r="E152" s="32" t="s">
        <v>512</v>
      </c>
      <c r="F152" s="42">
        <v>3</v>
      </c>
      <c r="G152" s="39">
        <v>5</v>
      </c>
      <c r="H152" s="2">
        <v>1985</v>
      </c>
      <c r="I152" s="10" t="s">
        <v>1050</v>
      </c>
      <c r="J152" s="43">
        <f>0.4*0.08*0.08</f>
        <v>2.5600000000000002E-3</v>
      </c>
      <c r="K152" s="9" t="s">
        <v>1051</v>
      </c>
    </row>
    <row r="153" spans="1:11" ht="15.75" customHeight="1" x14ac:dyDescent="0.15">
      <c r="A153" s="62" t="s">
        <v>182</v>
      </c>
      <c r="B153" s="20" t="s">
        <v>396</v>
      </c>
      <c r="C153" s="8" t="s">
        <v>680</v>
      </c>
      <c r="D153" s="6" t="s">
        <v>839</v>
      </c>
      <c r="E153" s="32" t="s">
        <v>515</v>
      </c>
      <c r="F153" s="40" t="s">
        <v>877</v>
      </c>
      <c r="G153" s="39">
        <v>1</v>
      </c>
      <c r="H153" s="2">
        <v>2004</v>
      </c>
      <c r="I153" s="10" t="s">
        <v>987</v>
      </c>
      <c r="J153" s="43">
        <f>2*4</f>
        <v>8</v>
      </c>
      <c r="K153" s="9" t="s">
        <v>682</v>
      </c>
    </row>
    <row r="154" spans="1:11" ht="15.75" customHeight="1" x14ac:dyDescent="0.15">
      <c r="A154" s="62" t="s">
        <v>183</v>
      </c>
      <c r="B154" s="20" t="s">
        <v>397</v>
      </c>
      <c r="C154" s="3" t="s">
        <v>672</v>
      </c>
      <c r="D154" s="6" t="s">
        <v>839</v>
      </c>
      <c r="F154" s="40" t="s">
        <v>877</v>
      </c>
      <c r="G154" s="39">
        <v>2</v>
      </c>
      <c r="H154" s="2">
        <v>2000</v>
      </c>
      <c r="I154" s="10" t="s">
        <v>949</v>
      </c>
      <c r="J154" s="43">
        <f>0.5*0.5*0.5</f>
        <v>0.125</v>
      </c>
      <c r="K154" s="9" t="s">
        <v>671</v>
      </c>
    </row>
    <row r="155" spans="1:11" ht="15.75" customHeight="1" x14ac:dyDescent="0.15">
      <c r="A155" s="62" t="s">
        <v>184</v>
      </c>
      <c r="B155" s="20" t="s">
        <v>398</v>
      </c>
      <c r="C155" s="3" t="s">
        <v>683</v>
      </c>
      <c r="D155" s="6" t="s">
        <v>839</v>
      </c>
      <c r="E155" s="32" t="s">
        <v>684</v>
      </c>
      <c r="F155" s="42">
        <v>1</v>
      </c>
      <c r="G155" s="39">
        <v>1</v>
      </c>
      <c r="H155" s="2">
        <v>1912</v>
      </c>
      <c r="I155" s="34" t="s">
        <v>1001</v>
      </c>
      <c r="J155" s="34" t="s">
        <v>1001</v>
      </c>
      <c r="K155" s="45" t="s">
        <v>1434</v>
      </c>
    </row>
    <row r="156" spans="1:11" ht="15.75" customHeight="1" x14ac:dyDescent="0.15">
      <c r="A156" s="62" t="s">
        <v>185</v>
      </c>
      <c r="B156" s="20" t="s">
        <v>1339</v>
      </c>
      <c r="C156" s="3" t="s">
        <v>1338</v>
      </c>
      <c r="D156" s="6" t="s">
        <v>840</v>
      </c>
      <c r="E156" s="32" t="s">
        <v>511</v>
      </c>
      <c r="F156" s="40" t="s">
        <v>877</v>
      </c>
      <c r="G156" s="39">
        <v>1</v>
      </c>
      <c r="H156" s="2">
        <v>2016</v>
      </c>
      <c r="I156" s="34" t="s">
        <v>1001</v>
      </c>
      <c r="J156" s="34" t="s">
        <v>1001</v>
      </c>
      <c r="K156" s="45" t="s">
        <v>1340</v>
      </c>
    </row>
    <row r="157" spans="1:11" ht="15.75" customHeight="1" x14ac:dyDescent="0.2">
      <c r="A157" s="62" t="s">
        <v>186</v>
      </c>
      <c r="B157" s="20" t="s">
        <v>399</v>
      </c>
      <c r="C157" s="8" t="s">
        <v>685</v>
      </c>
      <c r="D157" s="6" t="s">
        <v>839</v>
      </c>
      <c r="F157" s="40" t="s">
        <v>877</v>
      </c>
      <c r="G157" s="39">
        <v>1</v>
      </c>
      <c r="H157" s="2">
        <v>2007</v>
      </c>
      <c r="I157" s="10" t="s">
        <v>1052</v>
      </c>
      <c r="J157" s="43">
        <f>1*1*0.01</f>
        <v>0.01</v>
      </c>
      <c r="K157" s="9" t="s">
        <v>1053</v>
      </c>
    </row>
    <row r="158" spans="1:11" ht="15.75" customHeight="1" x14ac:dyDescent="0.15">
      <c r="A158" s="62" t="s">
        <v>187</v>
      </c>
      <c r="B158" s="20" t="s">
        <v>860</v>
      </c>
      <c r="C158" s="8" t="s">
        <v>812</v>
      </c>
      <c r="D158" s="6" t="s">
        <v>839</v>
      </c>
      <c r="E158" s="12" t="s">
        <v>495</v>
      </c>
      <c r="F158" s="40" t="s">
        <v>877</v>
      </c>
      <c r="G158" s="39">
        <v>1</v>
      </c>
      <c r="H158" s="2">
        <v>2016</v>
      </c>
      <c r="I158" s="13" t="s">
        <v>1014</v>
      </c>
      <c r="J158" s="43">
        <f>0.4*0.4*0.4</f>
        <v>6.4000000000000015E-2</v>
      </c>
      <c r="K158" s="12" t="s">
        <v>1518</v>
      </c>
    </row>
    <row r="159" spans="1:11" ht="15.75" customHeight="1" x14ac:dyDescent="0.15">
      <c r="A159" s="62" t="s">
        <v>188</v>
      </c>
      <c r="B159" s="20" t="s">
        <v>32</v>
      </c>
      <c r="C159" s="3" t="s">
        <v>686</v>
      </c>
      <c r="D159" s="6" t="s">
        <v>840</v>
      </c>
      <c r="F159" s="42">
        <v>3</v>
      </c>
      <c r="G159" s="39">
        <v>5</v>
      </c>
      <c r="H159" s="2">
        <v>1965</v>
      </c>
      <c r="I159" s="10" t="s">
        <v>989</v>
      </c>
      <c r="J159" s="43">
        <f>0.2*0.2*0.2</f>
        <v>8.0000000000000019E-3</v>
      </c>
      <c r="K159" s="9" t="s">
        <v>876</v>
      </c>
    </row>
    <row r="160" spans="1:11" ht="15.75" customHeight="1" x14ac:dyDescent="0.2">
      <c r="A160" s="60" t="s">
        <v>877</v>
      </c>
      <c r="B160" s="22" t="s">
        <v>1309</v>
      </c>
      <c r="C160" s="8" t="s">
        <v>687</v>
      </c>
      <c r="D160" s="6" t="s">
        <v>839</v>
      </c>
      <c r="E160" s="12" t="s">
        <v>689</v>
      </c>
      <c r="F160" s="40" t="s">
        <v>877</v>
      </c>
      <c r="G160" s="40" t="s">
        <v>877</v>
      </c>
      <c r="H160" s="25" t="s">
        <v>877</v>
      </c>
      <c r="I160" s="34" t="s">
        <v>1001</v>
      </c>
      <c r="J160" s="34" t="s">
        <v>1001</v>
      </c>
      <c r="K160" s="12" t="s">
        <v>1386</v>
      </c>
    </row>
    <row r="161" spans="1:33" ht="15.75" customHeight="1" x14ac:dyDescent="0.15">
      <c r="A161" s="62" t="s">
        <v>189</v>
      </c>
      <c r="B161" s="22" t="s">
        <v>1310</v>
      </c>
      <c r="C161" s="8" t="s">
        <v>1311</v>
      </c>
      <c r="D161" s="6" t="s">
        <v>840</v>
      </c>
      <c r="E161" s="12"/>
      <c r="F161" s="40" t="s">
        <v>877</v>
      </c>
      <c r="G161" s="39">
        <v>1</v>
      </c>
      <c r="H161" s="13">
        <v>2017</v>
      </c>
      <c r="I161" s="10" t="s">
        <v>989</v>
      </c>
      <c r="J161" s="43">
        <f>0.2*0.2*0.2</f>
        <v>8.0000000000000019E-3</v>
      </c>
      <c r="K161" s="12" t="s">
        <v>1437</v>
      </c>
    </row>
    <row r="162" spans="1:33" ht="15.75" customHeight="1" x14ac:dyDescent="0.2">
      <c r="A162" s="62" t="s">
        <v>190</v>
      </c>
      <c r="B162" s="20" t="s">
        <v>400</v>
      </c>
      <c r="C162" s="8" t="s">
        <v>691</v>
      </c>
      <c r="D162" s="6" t="s">
        <v>841</v>
      </c>
      <c r="E162" s="12"/>
      <c r="F162" s="40" t="s">
        <v>877</v>
      </c>
      <c r="G162" s="39">
        <v>1</v>
      </c>
      <c r="H162" s="2">
        <v>1998</v>
      </c>
      <c r="I162" s="13" t="s">
        <v>987</v>
      </c>
      <c r="J162" s="43">
        <f>2*2*2</f>
        <v>8</v>
      </c>
      <c r="K162" s="9" t="s">
        <v>1054</v>
      </c>
    </row>
    <row r="163" spans="1:33" ht="15.75" customHeight="1" x14ac:dyDescent="0.15">
      <c r="A163" s="62" t="s">
        <v>191</v>
      </c>
      <c r="B163" s="20" t="s">
        <v>401</v>
      </c>
      <c r="C163" s="15" t="s">
        <v>567</v>
      </c>
      <c r="D163" s="6" t="s">
        <v>840</v>
      </c>
      <c r="E163" s="32" t="s">
        <v>573</v>
      </c>
      <c r="F163" s="42">
        <v>1</v>
      </c>
      <c r="G163" s="39">
        <v>2</v>
      </c>
      <c r="H163" s="2">
        <v>1964</v>
      </c>
      <c r="I163" s="10" t="s">
        <v>957</v>
      </c>
      <c r="J163" s="43">
        <f>7*49</f>
        <v>343</v>
      </c>
      <c r="K163" s="12" t="s">
        <v>1237</v>
      </c>
    </row>
    <row r="164" spans="1:33" ht="15.75" customHeight="1" x14ac:dyDescent="0.2">
      <c r="A164" s="62" t="s">
        <v>192</v>
      </c>
      <c r="B164" s="20" t="s">
        <v>402</v>
      </c>
      <c r="C164" s="8" t="s">
        <v>692</v>
      </c>
      <c r="D164" s="6" t="s">
        <v>840</v>
      </c>
      <c r="F164" s="42">
        <v>6</v>
      </c>
      <c r="G164" s="39">
        <v>8</v>
      </c>
      <c r="H164" s="2">
        <v>1914</v>
      </c>
      <c r="I164" s="13" t="s">
        <v>1040</v>
      </c>
      <c r="J164" s="43">
        <v>10</v>
      </c>
      <c r="K164" s="45" t="s">
        <v>1127</v>
      </c>
    </row>
    <row r="165" spans="1:33" ht="15.75" customHeight="1" x14ac:dyDescent="0.15">
      <c r="A165" s="62" t="s">
        <v>193</v>
      </c>
      <c r="B165" s="20" t="s">
        <v>1312</v>
      </c>
      <c r="C165" s="61" t="s">
        <v>564</v>
      </c>
      <c r="D165" s="52" t="s">
        <v>839</v>
      </c>
      <c r="E165" s="32" t="s">
        <v>563</v>
      </c>
      <c r="F165" s="40" t="s">
        <v>877</v>
      </c>
      <c r="G165" s="39">
        <v>2</v>
      </c>
      <c r="H165" s="2">
        <v>2002</v>
      </c>
      <c r="I165" s="10" t="s">
        <v>949</v>
      </c>
      <c r="J165" s="43">
        <f>0.5*0.5*0.5</f>
        <v>0.125</v>
      </c>
      <c r="K165" s="19" t="s">
        <v>565</v>
      </c>
    </row>
    <row r="166" spans="1:33" ht="15.75" customHeight="1" x14ac:dyDescent="0.15">
      <c r="A166" s="62" t="s">
        <v>194</v>
      </c>
      <c r="B166" s="20" t="s">
        <v>1313</v>
      </c>
      <c r="C166" s="8" t="s">
        <v>693</v>
      </c>
      <c r="D166" s="6" t="s">
        <v>840</v>
      </c>
      <c r="F166" s="40" t="s">
        <v>877</v>
      </c>
      <c r="G166" s="39">
        <v>1</v>
      </c>
      <c r="H166" s="2">
        <v>1986</v>
      </c>
      <c r="I166" s="10" t="s">
        <v>1055</v>
      </c>
      <c r="J166" s="43">
        <v>0.05</v>
      </c>
      <c r="K166" s="9" t="s">
        <v>694</v>
      </c>
    </row>
    <row r="167" spans="1:33" ht="15.75" customHeight="1" x14ac:dyDescent="0.15">
      <c r="A167" s="62" t="s">
        <v>195</v>
      </c>
      <c r="B167" s="20" t="s">
        <v>33</v>
      </c>
      <c r="C167" s="8" t="s">
        <v>695</v>
      </c>
      <c r="D167" s="6" t="s">
        <v>839</v>
      </c>
      <c r="E167" s="9" t="s">
        <v>1580</v>
      </c>
      <c r="F167" s="40" t="s">
        <v>877</v>
      </c>
      <c r="G167" s="39">
        <v>2</v>
      </c>
      <c r="H167" s="2">
        <v>1980</v>
      </c>
      <c r="I167" s="46" t="s">
        <v>1056</v>
      </c>
      <c r="J167" s="47">
        <f>15*0.3*0.3</f>
        <v>1.3499999999999999</v>
      </c>
      <c r="K167" s="12" t="s">
        <v>1482</v>
      </c>
    </row>
    <row r="168" spans="1:33" ht="15.75" customHeight="1" x14ac:dyDescent="0.15">
      <c r="A168" s="62" t="s">
        <v>196</v>
      </c>
      <c r="B168" s="20" t="s">
        <v>403</v>
      </c>
      <c r="C168" s="8" t="s">
        <v>696</v>
      </c>
      <c r="D168" s="6" t="s">
        <v>840</v>
      </c>
      <c r="F168" s="42">
        <v>1</v>
      </c>
      <c r="G168" s="39">
        <v>1</v>
      </c>
      <c r="H168" s="6">
        <v>1961</v>
      </c>
      <c r="I168" s="34" t="s">
        <v>1001</v>
      </c>
      <c r="J168" s="34" t="s">
        <v>1001</v>
      </c>
      <c r="K168" s="45" t="s">
        <v>1438</v>
      </c>
    </row>
    <row r="169" spans="1:33" ht="15.75" customHeight="1" x14ac:dyDescent="0.15">
      <c r="A169" s="62" t="s">
        <v>197</v>
      </c>
      <c r="B169" s="20" t="s">
        <v>404</v>
      </c>
      <c r="C169" s="71" t="s">
        <v>697</v>
      </c>
      <c r="D169" s="72" t="s">
        <v>840</v>
      </c>
      <c r="F169" s="42">
        <v>2</v>
      </c>
      <c r="G169" s="39">
        <v>5</v>
      </c>
      <c r="H169" s="2">
        <v>1961</v>
      </c>
      <c r="I169" s="10" t="s">
        <v>974</v>
      </c>
      <c r="J169" s="43">
        <v>1</v>
      </c>
      <c r="K169" s="45" t="s">
        <v>1618</v>
      </c>
    </row>
    <row r="170" spans="1:33" s="17" customFormat="1" ht="15.75" customHeight="1" x14ac:dyDescent="0.2">
      <c r="A170" s="62" t="s">
        <v>198</v>
      </c>
      <c r="B170" s="20" t="s">
        <v>405</v>
      </c>
      <c r="C170" s="8" t="s">
        <v>582</v>
      </c>
      <c r="D170" s="6" t="s">
        <v>839</v>
      </c>
      <c r="E170" s="32" t="s">
        <v>579</v>
      </c>
      <c r="F170" s="40" t="s">
        <v>877</v>
      </c>
      <c r="G170" s="39">
        <v>1</v>
      </c>
      <c r="H170" s="2">
        <v>2013</v>
      </c>
      <c r="I170" s="10" t="s">
        <v>1057</v>
      </c>
      <c r="J170" s="43">
        <f>0.02*0.02*0.02</f>
        <v>8.0000000000000013E-6</v>
      </c>
      <c r="K170" s="9" t="s">
        <v>869</v>
      </c>
      <c r="L170" s="3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</row>
    <row r="171" spans="1:33" ht="15.75" customHeight="1" x14ac:dyDescent="0.15">
      <c r="A171" s="62" t="s">
        <v>199</v>
      </c>
      <c r="B171" s="20" t="s">
        <v>406</v>
      </c>
      <c r="C171" s="8" t="s">
        <v>698</v>
      </c>
      <c r="D171" s="6" t="s">
        <v>840</v>
      </c>
      <c r="E171" s="30" t="s">
        <v>1181</v>
      </c>
      <c r="F171" s="42">
        <v>1</v>
      </c>
      <c r="G171" s="39">
        <v>5</v>
      </c>
      <c r="H171" s="2">
        <v>1961</v>
      </c>
      <c r="I171" s="10" t="s">
        <v>962</v>
      </c>
      <c r="J171" s="43">
        <f>3*3*3</f>
        <v>27</v>
      </c>
      <c r="K171" s="9" t="s">
        <v>1238</v>
      </c>
      <c r="L171" s="16"/>
    </row>
    <row r="172" spans="1:33" ht="15.75" customHeight="1" x14ac:dyDescent="0.15">
      <c r="A172" s="62" t="s">
        <v>200</v>
      </c>
      <c r="B172" s="20" t="s">
        <v>1183</v>
      </c>
      <c r="C172" s="8" t="s">
        <v>900</v>
      </c>
      <c r="D172" s="6" t="s">
        <v>839</v>
      </c>
      <c r="E172" s="30" t="s">
        <v>901</v>
      </c>
      <c r="F172" s="40" t="s">
        <v>877</v>
      </c>
      <c r="G172" s="39">
        <v>1</v>
      </c>
      <c r="H172" s="2">
        <v>2017</v>
      </c>
      <c r="I172" s="13" t="s">
        <v>1439</v>
      </c>
      <c r="J172" s="43">
        <f>0.6*0.008*0.007</f>
        <v>3.3599999999999997E-5</v>
      </c>
      <c r="K172" s="12" t="s">
        <v>1440</v>
      </c>
    </row>
    <row r="173" spans="1:33" ht="15.75" customHeight="1" x14ac:dyDescent="0.15">
      <c r="A173" s="62" t="s">
        <v>201</v>
      </c>
      <c r="B173" s="20" t="s">
        <v>1314</v>
      </c>
      <c r="C173" s="8" t="s">
        <v>699</v>
      </c>
      <c r="D173" s="6" t="s">
        <v>840</v>
      </c>
      <c r="E173" s="30" t="s">
        <v>1583</v>
      </c>
      <c r="F173" s="42">
        <v>7</v>
      </c>
      <c r="G173" s="39">
        <v>15</v>
      </c>
      <c r="H173" s="2">
        <v>1887</v>
      </c>
      <c r="I173" s="10" t="s">
        <v>1058</v>
      </c>
      <c r="J173" s="43">
        <f>12*12*12</f>
        <v>1728</v>
      </c>
      <c r="K173" s="12" t="s">
        <v>1239</v>
      </c>
    </row>
    <row r="174" spans="1:33" ht="15.75" customHeight="1" x14ac:dyDescent="0.15">
      <c r="A174" s="62" t="s">
        <v>202</v>
      </c>
      <c r="B174" s="20" t="s">
        <v>407</v>
      </c>
      <c r="C174" s="8" t="s">
        <v>700</v>
      </c>
      <c r="D174" s="6" t="s">
        <v>840</v>
      </c>
      <c r="E174" s="30" t="s">
        <v>1184</v>
      </c>
      <c r="F174" s="40" t="s">
        <v>877</v>
      </c>
      <c r="G174" s="39">
        <v>1</v>
      </c>
      <c r="H174" s="2">
        <v>2007</v>
      </c>
      <c r="I174" s="10" t="s">
        <v>1067</v>
      </c>
      <c r="J174" s="43">
        <f>1.5*1.5*1.5</f>
        <v>3.375</v>
      </c>
      <c r="K174" s="12" t="s">
        <v>1441</v>
      </c>
    </row>
    <row r="175" spans="1:33" ht="15.75" customHeight="1" x14ac:dyDescent="0.15">
      <c r="A175" s="62" t="s">
        <v>203</v>
      </c>
      <c r="B175" s="20" t="s">
        <v>930</v>
      </c>
      <c r="C175" s="8" t="s">
        <v>931</v>
      </c>
      <c r="D175" s="6" t="s">
        <v>839</v>
      </c>
      <c r="E175" s="32"/>
      <c r="F175" s="40" t="s">
        <v>877</v>
      </c>
      <c r="G175" s="39">
        <v>1</v>
      </c>
      <c r="H175" s="2">
        <v>2017</v>
      </c>
      <c r="I175" s="10" t="s">
        <v>1387</v>
      </c>
      <c r="J175" s="51">
        <f>0.1*0.1*0.01</f>
        <v>1.0000000000000002E-4</v>
      </c>
      <c r="K175" s="12" t="s">
        <v>1388</v>
      </c>
    </row>
    <row r="176" spans="1:33" ht="15.75" customHeight="1" x14ac:dyDescent="0.15">
      <c r="A176" s="62" t="s">
        <v>204</v>
      </c>
      <c r="B176" s="20" t="s">
        <v>1315</v>
      </c>
      <c r="C176" s="8" t="s">
        <v>702</v>
      </c>
      <c r="D176" s="6" t="s">
        <v>839</v>
      </c>
      <c r="E176" s="32" t="s">
        <v>632</v>
      </c>
      <c r="F176" s="40" t="s">
        <v>877</v>
      </c>
      <c r="G176" s="39">
        <v>2</v>
      </c>
      <c r="H176" s="2">
        <v>1980</v>
      </c>
      <c r="I176" s="10" t="s">
        <v>1059</v>
      </c>
      <c r="J176" s="43">
        <f>4*4*4</f>
        <v>64</v>
      </c>
      <c r="K176" s="9" t="s">
        <v>718</v>
      </c>
    </row>
    <row r="177" spans="1:11" ht="15.75" customHeight="1" x14ac:dyDescent="0.15">
      <c r="A177" s="62" t="s">
        <v>205</v>
      </c>
      <c r="B177" s="20" t="s">
        <v>408</v>
      </c>
      <c r="C177" s="8" t="s">
        <v>701</v>
      </c>
      <c r="D177" s="6" t="s">
        <v>839</v>
      </c>
      <c r="E177" s="30" t="s">
        <v>706</v>
      </c>
      <c r="F177" s="40" t="s">
        <v>877</v>
      </c>
      <c r="G177" s="39">
        <v>2</v>
      </c>
      <c r="H177" s="2">
        <v>1998</v>
      </c>
      <c r="I177" s="10" t="s">
        <v>1060</v>
      </c>
      <c r="J177" s="43">
        <f>0.03*0.03*0.03</f>
        <v>2.6999999999999999E-5</v>
      </c>
      <c r="K177" s="9" t="s">
        <v>878</v>
      </c>
    </row>
    <row r="178" spans="1:11" ht="15.75" customHeight="1" x14ac:dyDescent="0.15">
      <c r="A178" s="62" t="s">
        <v>206</v>
      </c>
      <c r="B178" s="20" t="s">
        <v>18</v>
      </c>
      <c r="C178" s="8" t="s">
        <v>703</v>
      </c>
      <c r="D178" s="6" t="s">
        <v>839</v>
      </c>
      <c r="E178" s="30" t="s">
        <v>495</v>
      </c>
      <c r="F178" s="63" t="s">
        <v>877</v>
      </c>
      <c r="G178" s="65">
        <v>20</v>
      </c>
      <c r="H178" s="2">
        <v>1986</v>
      </c>
      <c r="I178" s="13" t="s">
        <v>1442</v>
      </c>
      <c r="J178" s="43">
        <f>3*0.5*0.5*0.5</f>
        <v>0.375</v>
      </c>
      <c r="K178" s="12" t="s">
        <v>1443</v>
      </c>
    </row>
    <row r="179" spans="1:11" ht="15.75" customHeight="1" x14ac:dyDescent="0.15">
      <c r="A179" s="62" t="s">
        <v>207</v>
      </c>
      <c r="B179" s="20" t="s">
        <v>409</v>
      </c>
      <c r="C179" s="8" t="s">
        <v>704</v>
      </c>
      <c r="D179" s="6" t="s">
        <v>840</v>
      </c>
      <c r="F179" s="42">
        <v>1</v>
      </c>
      <c r="G179" s="39">
        <v>3</v>
      </c>
      <c r="H179" s="2">
        <v>1969</v>
      </c>
      <c r="I179" s="10" t="s">
        <v>1061</v>
      </c>
      <c r="J179" s="43">
        <f>0.03*0.03*0.03</f>
        <v>2.6999999999999999E-5</v>
      </c>
      <c r="K179" s="9" t="s">
        <v>1062</v>
      </c>
    </row>
    <row r="180" spans="1:11" ht="15.75" customHeight="1" x14ac:dyDescent="0.15">
      <c r="A180" s="62" t="s">
        <v>208</v>
      </c>
      <c r="B180" s="20" t="s">
        <v>410</v>
      </c>
      <c r="C180" s="8" t="s">
        <v>616</v>
      </c>
      <c r="D180" s="6" t="s">
        <v>839</v>
      </c>
      <c r="E180" s="12" t="s">
        <v>1546</v>
      </c>
      <c r="F180" s="40" t="s">
        <v>877</v>
      </c>
      <c r="G180" s="39">
        <v>5</v>
      </c>
      <c r="H180" s="2">
        <v>2001</v>
      </c>
      <c r="I180" s="10" t="s">
        <v>949</v>
      </c>
      <c r="J180" s="43">
        <f>0.5*0.5*0.5</f>
        <v>0.125</v>
      </c>
      <c r="K180" s="9" t="s">
        <v>889</v>
      </c>
    </row>
    <row r="181" spans="1:11" ht="15.75" customHeight="1" x14ac:dyDescent="0.15">
      <c r="A181" s="62" t="s">
        <v>209</v>
      </c>
      <c r="B181" s="20" t="s">
        <v>411</v>
      </c>
      <c r="C181" s="8" t="s">
        <v>705</v>
      </c>
      <c r="D181" s="6" t="s">
        <v>840</v>
      </c>
      <c r="E181" s="32" t="s">
        <v>526</v>
      </c>
      <c r="F181" s="42">
        <v>1</v>
      </c>
      <c r="G181" s="39">
        <v>1</v>
      </c>
      <c r="H181" s="2">
        <v>1960</v>
      </c>
      <c r="I181" s="10" t="s">
        <v>1063</v>
      </c>
      <c r="J181" s="43">
        <v>4</v>
      </c>
      <c r="K181" s="12" t="s">
        <v>1444</v>
      </c>
    </row>
    <row r="182" spans="1:11" ht="15.75" customHeight="1" x14ac:dyDescent="0.15">
      <c r="A182" s="62" t="s">
        <v>210</v>
      </c>
      <c r="B182" s="20" t="s">
        <v>412</v>
      </c>
      <c r="C182" s="8" t="s">
        <v>707</v>
      </c>
      <c r="D182" s="6" t="s">
        <v>839</v>
      </c>
      <c r="E182" s="30" t="s">
        <v>495</v>
      </c>
      <c r="F182" s="40" t="s">
        <v>877</v>
      </c>
      <c r="G182" s="39">
        <v>1</v>
      </c>
      <c r="H182" s="2">
        <v>2012</v>
      </c>
      <c r="I182" s="10" t="s">
        <v>985</v>
      </c>
      <c r="J182" s="43">
        <f>0.3*0.3*0.3</f>
        <v>2.7E-2</v>
      </c>
      <c r="K182" s="9" t="s">
        <v>1240</v>
      </c>
    </row>
    <row r="183" spans="1:11" ht="15.75" customHeight="1" x14ac:dyDescent="0.15">
      <c r="A183" s="62" t="s">
        <v>211</v>
      </c>
      <c r="B183" s="20" t="s">
        <v>413</v>
      </c>
      <c r="C183" s="8" t="s">
        <v>708</v>
      </c>
      <c r="D183" s="6" t="s">
        <v>839</v>
      </c>
      <c r="E183" s="30" t="s">
        <v>495</v>
      </c>
      <c r="F183" s="63" t="s">
        <v>877</v>
      </c>
      <c r="G183" s="65">
        <v>16</v>
      </c>
      <c r="H183" s="2">
        <v>2013</v>
      </c>
      <c r="I183" s="10" t="s">
        <v>1064</v>
      </c>
      <c r="J183" s="43">
        <f>49*15</f>
        <v>735</v>
      </c>
      <c r="K183" s="9" t="s">
        <v>883</v>
      </c>
    </row>
    <row r="184" spans="1:11" ht="15.75" customHeight="1" x14ac:dyDescent="0.2">
      <c r="A184" s="62" t="s">
        <v>212</v>
      </c>
      <c r="B184" s="20" t="s">
        <v>1622</v>
      </c>
      <c r="C184" s="8" t="s">
        <v>821</v>
      </c>
      <c r="D184" s="6" t="s">
        <v>839</v>
      </c>
      <c r="E184" s="30" t="s">
        <v>495</v>
      </c>
      <c r="F184" s="40" t="s">
        <v>877</v>
      </c>
      <c r="G184" s="39">
        <v>4</v>
      </c>
      <c r="H184" s="2">
        <v>2017</v>
      </c>
      <c r="I184" s="13" t="s">
        <v>1375</v>
      </c>
      <c r="J184" s="51">
        <f>10*10*10</f>
        <v>1000</v>
      </c>
      <c r="K184" s="12" t="s">
        <v>1457</v>
      </c>
    </row>
    <row r="185" spans="1:11" ht="15.75" customHeight="1" x14ac:dyDescent="0.2">
      <c r="A185" s="62" t="s">
        <v>213</v>
      </c>
      <c r="B185" s="23" t="s">
        <v>1316</v>
      </c>
      <c r="C185" s="8" t="s">
        <v>1624</v>
      </c>
      <c r="D185" s="6" t="s">
        <v>839</v>
      </c>
      <c r="E185" s="12" t="s">
        <v>495</v>
      </c>
      <c r="F185" s="40" t="s">
        <v>877</v>
      </c>
      <c r="G185" s="39">
        <v>1</v>
      </c>
      <c r="H185" s="2">
        <v>2015</v>
      </c>
      <c r="I185" s="34" t="s">
        <v>1001</v>
      </c>
      <c r="J185" s="34" t="s">
        <v>1001</v>
      </c>
      <c r="K185" s="8" t="s">
        <v>1317</v>
      </c>
    </row>
    <row r="186" spans="1:11" ht="15.75" customHeight="1" x14ac:dyDescent="0.15">
      <c r="A186" s="62" t="s">
        <v>214</v>
      </c>
      <c r="B186" s="23" t="s">
        <v>823</v>
      </c>
      <c r="C186" s="73" t="s">
        <v>825</v>
      </c>
      <c r="D186" s="6" t="s">
        <v>839</v>
      </c>
      <c r="E186" s="12" t="s">
        <v>495</v>
      </c>
      <c r="F186" s="40" t="s">
        <v>877</v>
      </c>
      <c r="G186" s="39">
        <v>1</v>
      </c>
      <c r="H186" s="2">
        <v>2005</v>
      </c>
      <c r="I186" s="13" t="s">
        <v>953</v>
      </c>
      <c r="J186" s="43">
        <f>20*25</f>
        <v>500</v>
      </c>
      <c r="K186" s="8" t="s">
        <v>1445</v>
      </c>
    </row>
    <row r="187" spans="1:11" ht="15.75" customHeight="1" x14ac:dyDescent="0.15">
      <c r="A187" s="62" t="s">
        <v>215</v>
      </c>
      <c r="B187" s="20" t="s">
        <v>414</v>
      </c>
      <c r="C187" s="8" t="s">
        <v>709</v>
      </c>
      <c r="D187" s="6" t="s">
        <v>839</v>
      </c>
      <c r="E187" s="30" t="s">
        <v>495</v>
      </c>
      <c r="F187" s="40" t="s">
        <v>877</v>
      </c>
      <c r="G187" s="39">
        <v>8</v>
      </c>
      <c r="H187" s="2">
        <v>2013</v>
      </c>
      <c r="I187" s="13" t="s">
        <v>1446</v>
      </c>
      <c r="J187" s="43">
        <f>10*100</f>
        <v>1000</v>
      </c>
      <c r="K187" s="12" t="s">
        <v>1447</v>
      </c>
    </row>
    <row r="188" spans="1:11" ht="15.75" customHeight="1" x14ac:dyDescent="0.15">
      <c r="A188" s="62" t="s">
        <v>216</v>
      </c>
      <c r="B188" s="20" t="s">
        <v>415</v>
      </c>
      <c r="C188" s="8" t="s">
        <v>710</v>
      </c>
      <c r="D188" s="6" t="s">
        <v>839</v>
      </c>
      <c r="E188" s="30" t="s">
        <v>495</v>
      </c>
      <c r="F188" s="40" t="s">
        <v>877</v>
      </c>
      <c r="G188" s="39">
        <v>1</v>
      </c>
      <c r="H188" s="2">
        <v>2001</v>
      </c>
      <c r="I188" s="13" t="s">
        <v>960</v>
      </c>
      <c r="J188" s="43">
        <f>2*0.5*0.5</f>
        <v>0.5</v>
      </c>
      <c r="K188" s="12" t="s">
        <v>1448</v>
      </c>
    </row>
    <row r="189" spans="1:11" ht="15.75" customHeight="1" x14ac:dyDescent="0.15">
      <c r="A189" s="62" t="s">
        <v>217</v>
      </c>
      <c r="B189" s="20" t="s">
        <v>1203</v>
      </c>
      <c r="C189" s="8" t="s">
        <v>711</v>
      </c>
      <c r="D189" s="6" t="s">
        <v>839</v>
      </c>
      <c r="F189" s="40">
        <v>1</v>
      </c>
      <c r="G189" s="39">
        <v>4</v>
      </c>
      <c r="H189" s="2">
        <v>1984</v>
      </c>
      <c r="I189" s="13" t="s">
        <v>1449</v>
      </c>
      <c r="J189" s="43">
        <f>3*0.3*0.3</f>
        <v>0.26999999999999996</v>
      </c>
      <c r="K189" s="9" t="s">
        <v>1241</v>
      </c>
    </row>
    <row r="190" spans="1:11" ht="15.75" customHeight="1" x14ac:dyDescent="0.15">
      <c r="A190" s="62" t="s">
        <v>218</v>
      </c>
      <c r="B190" s="20" t="s">
        <v>8</v>
      </c>
      <c r="C190" s="8" t="s">
        <v>712</v>
      </c>
      <c r="D190" s="6" t="s">
        <v>840</v>
      </c>
      <c r="F190" s="42">
        <v>1</v>
      </c>
      <c r="G190" s="39">
        <v>2</v>
      </c>
      <c r="H190" s="2">
        <v>1957</v>
      </c>
      <c r="I190" s="10">
        <f>1.7/4</f>
        <v>0.42499999999999999</v>
      </c>
      <c r="J190" s="43">
        <f>I190*10*10*10</f>
        <v>425</v>
      </c>
      <c r="K190" s="9" t="s">
        <v>1065</v>
      </c>
    </row>
    <row r="191" spans="1:11" ht="15.75" customHeight="1" x14ac:dyDescent="0.15">
      <c r="A191" s="62" t="s">
        <v>219</v>
      </c>
      <c r="B191" s="20" t="s">
        <v>416</v>
      </c>
      <c r="C191" s="8" t="s">
        <v>713</v>
      </c>
      <c r="D191" s="6" t="s">
        <v>840</v>
      </c>
      <c r="E191" s="30" t="s">
        <v>714</v>
      </c>
      <c r="F191" s="40" t="s">
        <v>877</v>
      </c>
      <c r="G191" s="39">
        <v>1</v>
      </c>
      <c r="H191" s="2">
        <v>1998</v>
      </c>
      <c r="I191" s="10" t="s">
        <v>1066</v>
      </c>
      <c r="J191" s="43">
        <f>0.04*0.02*0.003</f>
        <v>2.4000000000000003E-6</v>
      </c>
      <c r="K191" s="9" t="s">
        <v>719</v>
      </c>
    </row>
    <row r="192" spans="1:11" ht="15.75" customHeight="1" x14ac:dyDescent="0.15">
      <c r="A192" s="62" t="s">
        <v>220</v>
      </c>
      <c r="B192" s="20" t="s">
        <v>417</v>
      </c>
      <c r="C192" s="8" t="s">
        <v>681</v>
      </c>
      <c r="D192" s="6" t="s">
        <v>839</v>
      </c>
      <c r="E192" s="32" t="s">
        <v>515</v>
      </c>
      <c r="F192" s="40" t="s">
        <v>877</v>
      </c>
      <c r="G192" s="39">
        <v>1</v>
      </c>
      <c r="H192" s="2">
        <v>2004</v>
      </c>
      <c r="I192" s="10" t="s">
        <v>989</v>
      </c>
      <c r="J192" s="43">
        <f>0.2*0.2*0.2</f>
        <v>8.0000000000000019E-3</v>
      </c>
      <c r="K192" s="9" t="s">
        <v>682</v>
      </c>
    </row>
    <row r="193" spans="1:11" ht="15.75" customHeight="1" x14ac:dyDescent="0.15">
      <c r="A193" s="62" t="s">
        <v>221</v>
      </c>
      <c r="B193" s="20" t="s">
        <v>418</v>
      </c>
      <c r="C193" s="8" t="s">
        <v>716</v>
      </c>
      <c r="D193" s="6" t="s">
        <v>840</v>
      </c>
      <c r="F193" s="40" t="s">
        <v>877</v>
      </c>
      <c r="G193" s="39">
        <v>1</v>
      </c>
      <c r="H193" s="2">
        <v>1996</v>
      </c>
      <c r="I193" s="10" t="s">
        <v>1067</v>
      </c>
      <c r="J193" s="43">
        <f>1.5*1.5*1.5</f>
        <v>3.375</v>
      </c>
      <c r="K193" s="9" t="s">
        <v>1068</v>
      </c>
    </row>
    <row r="194" spans="1:11" ht="15.75" customHeight="1" x14ac:dyDescent="0.15">
      <c r="A194" s="62" t="s">
        <v>222</v>
      </c>
      <c r="B194" s="20" t="s">
        <v>419</v>
      </c>
      <c r="C194" s="8" t="s">
        <v>720</v>
      </c>
      <c r="D194" s="6" t="s">
        <v>840</v>
      </c>
      <c r="F194" s="42">
        <v>3</v>
      </c>
      <c r="G194" s="39">
        <v>6</v>
      </c>
      <c r="H194" s="2">
        <v>1961</v>
      </c>
      <c r="I194" s="13" t="s">
        <v>1450</v>
      </c>
      <c r="J194" s="43">
        <f>1.3*0.7*0.7</f>
        <v>0.6369999999999999</v>
      </c>
      <c r="K194" s="45" t="s">
        <v>1512</v>
      </c>
    </row>
    <row r="195" spans="1:11" ht="15.75" customHeight="1" x14ac:dyDescent="0.15">
      <c r="A195" s="62" t="s">
        <v>223</v>
      </c>
      <c r="B195" s="20" t="s">
        <v>1318</v>
      </c>
      <c r="C195" s="8" t="s">
        <v>717</v>
      </c>
      <c r="D195" s="6" t="s">
        <v>840</v>
      </c>
      <c r="F195" s="40" t="s">
        <v>877</v>
      </c>
      <c r="G195" s="39">
        <v>2</v>
      </c>
      <c r="H195" s="2">
        <v>1993</v>
      </c>
      <c r="I195" s="10" t="s">
        <v>1069</v>
      </c>
      <c r="J195" s="43">
        <f>0.5*0.5*0.02</f>
        <v>5.0000000000000001E-3</v>
      </c>
      <c r="K195" s="12" t="s">
        <v>1451</v>
      </c>
    </row>
    <row r="196" spans="1:11" ht="15.75" customHeight="1" x14ac:dyDescent="0.2">
      <c r="A196" s="62" t="s">
        <v>224</v>
      </c>
      <c r="B196" s="20" t="s">
        <v>916</v>
      </c>
      <c r="C196" s="8" t="s">
        <v>917</v>
      </c>
      <c r="D196" s="6" t="s">
        <v>918</v>
      </c>
      <c r="F196" s="40" t="s">
        <v>877</v>
      </c>
      <c r="G196" s="39">
        <v>1</v>
      </c>
      <c r="H196" s="2">
        <v>2015</v>
      </c>
      <c r="I196" s="10" t="s">
        <v>1070</v>
      </c>
      <c r="J196" s="43">
        <f>3*0.2*0.2</f>
        <v>0.12000000000000002</v>
      </c>
      <c r="K196" s="12" t="s">
        <v>1452</v>
      </c>
    </row>
    <row r="197" spans="1:11" ht="15.75" customHeight="1" x14ac:dyDescent="0.15">
      <c r="A197" s="62" t="s">
        <v>225</v>
      </c>
      <c r="B197" s="20" t="s">
        <v>1319</v>
      </c>
      <c r="C197" s="8" t="s">
        <v>721</v>
      </c>
      <c r="D197" s="6" t="s">
        <v>840</v>
      </c>
      <c r="F197" s="40" t="s">
        <v>877</v>
      </c>
      <c r="G197" s="39">
        <v>2</v>
      </c>
      <c r="H197" s="2">
        <v>2003</v>
      </c>
      <c r="I197" s="13" t="s">
        <v>989</v>
      </c>
      <c r="J197" s="43">
        <f>0.2*0.2*0.2</f>
        <v>8.0000000000000019E-3</v>
      </c>
      <c r="K197" s="9" t="s">
        <v>881</v>
      </c>
    </row>
    <row r="198" spans="1:11" ht="15.75" customHeight="1" x14ac:dyDescent="0.15">
      <c r="A198" s="62" t="s">
        <v>226</v>
      </c>
      <c r="B198" s="20" t="s">
        <v>1320</v>
      </c>
      <c r="C198" s="8" t="s">
        <v>722</v>
      </c>
      <c r="D198" s="6" t="s">
        <v>840</v>
      </c>
      <c r="F198" s="40" t="s">
        <v>877</v>
      </c>
      <c r="G198" s="39">
        <v>10</v>
      </c>
      <c r="H198" s="2">
        <v>2010</v>
      </c>
      <c r="I198" s="10" t="s">
        <v>974</v>
      </c>
      <c r="J198" s="43">
        <v>1</v>
      </c>
      <c r="K198" s="9" t="s">
        <v>1071</v>
      </c>
    </row>
    <row r="199" spans="1:11" ht="15.75" customHeight="1" x14ac:dyDescent="0.15">
      <c r="A199" s="62" t="s">
        <v>227</v>
      </c>
      <c r="B199" s="20" t="s">
        <v>1321</v>
      </c>
      <c r="C199" s="8" t="s">
        <v>723</v>
      </c>
      <c r="D199" s="6" t="s">
        <v>839</v>
      </c>
      <c r="F199" s="40" t="s">
        <v>877</v>
      </c>
      <c r="G199" s="39">
        <v>1</v>
      </c>
      <c r="H199" s="2">
        <v>2006</v>
      </c>
      <c r="I199" s="13" t="s">
        <v>1453</v>
      </c>
      <c r="J199" s="43">
        <f>0.5*0.5*0.05</f>
        <v>1.2500000000000001E-2</v>
      </c>
      <c r="K199" s="9" t="s">
        <v>1242</v>
      </c>
    </row>
    <row r="200" spans="1:11" ht="15.75" customHeight="1" x14ac:dyDescent="0.15">
      <c r="A200" s="62" t="s">
        <v>228</v>
      </c>
      <c r="B200" s="20" t="s">
        <v>420</v>
      </c>
      <c r="C200" s="8" t="s">
        <v>724</v>
      </c>
      <c r="D200" s="6" t="s">
        <v>840</v>
      </c>
      <c r="E200" s="32" t="s">
        <v>512</v>
      </c>
      <c r="F200" s="42">
        <v>1</v>
      </c>
      <c r="G200" s="39">
        <v>1</v>
      </c>
      <c r="H200" s="2">
        <v>1891</v>
      </c>
      <c r="I200" s="10" t="s">
        <v>1214</v>
      </c>
      <c r="J200" s="43">
        <f>6*3*1</f>
        <v>18</v>
      </c>
      <c r="K200" s="12" t="s">
        <v>1454</v>
      </c>
    </row>
    <row r="201" spans="1:11" ht="15.75" customHeight="1" x14ac:dyDescent="0.15">
      <c r="A201" s="62" t="s">
        <v>229</v>
      </c>
      <c r="B201" s="20" t="s">
        <v>421</v>
      </c>
      <c r="C201" s="8" t="s">
        <v>725</v>
      </c>
      <c r="D201" s="6" t="s">
        <v>840</v>
      </c>
      <c r="F201" s="42">
        <v>3</v>
      </c>
      <c r="G201" s="39">
        <v>12</v>
      </c>
      <c r="H201" s="2">
        <v>1884</v>
      </c>
      <c r="I201" s="34" t="s">
        <v>1001</v>
      </c>
      <c r="J201" s="34" t="s">
        <v>1001</v>
      </c>
      <c r="K201" s="45" t="s">
        <v>1243</v>
      </c>
    </row>
    <row r="202" spans="1:11" ht="15.75" customHeight="1" x14ac:dyDescent="0.15">
      <c r="A202" s="62" t="s">
        <v>230</v>
      </c>
      <c r="B202" s="23" t="s">
        <v>817</v>
      </c>
      <c r="C202" s="8" t="s">
        <v>818</v>
      </c>
      <c r="D202" s="6" t="s">
        <v>839</v>
      </c>
      <c r="E202" s="12" t="s">
        <v>495</v>
      </c>
      <c r="F202" s="40" t="s">
        <v>877</v>
      </c>
      <c r="G202" s="39">
        <v>1</v>
      </c>
      <c r="H202" s="2">
        <v>2009</v>
      </c>
      <c r="I202" s="34" t="s">
        <v>1001</v>
      </c>
      <c r="J202" s="34" t="s">
        <v>1001</v>
      </c>
      <c r="K202" s="8" t="s">
        <v>1455</v>
      </c>
    </row>
    <row r="203" spans="1:11" ht="15.75" customHeight="1" x14ac:dyDescent="0.15">
      <c r="A203" s="62" t="s">
        <v>231</v>
      </c>
      <c r="B203" s="18" t="s">
        <v>11</v>
      </c>
      <c r="C203" s="8" t="s">
        <v>810</v>
      </c>
      <c r="D203" s="6" t="s">
        <v>839</v>
      </c>
      <c r="E203" s="12" t="s">
        <v>495</v>
      </c>
      <c r="F203" s="40" t="s">
        <v>877</v>
      </c>
      <c r="G203" s="39">
        <v>1</v>
      </c>
      <c r="H203" s="2">
        <v>1993</v>
      </c>
      <c r="I203" s="34" t="s">
        <v>1001</v>
      </c>
      <c r="J203" s="34" t="s">
        <v>1001</v>
      </c>
      <c r="K203" s="8" t="s">
        <v>1456</v>
      </c>
    </row>
    <row r="204" spans="1:11" ht="15.75" customHeight="1" x14ac:dyDescent="0.15">
      <c r="A204" s="62" t="s">
        <v>232</v>
      </c>
      <c r="B204" s="20" t="s">
        <v>422</v>
      </c>
      <c r="C204" s="8" t="s">
        <v>726</v>
      </c>
      <c r="D204" s="6" t="s">
        <v>839</v>
      </c>
      <c r="E204" s="30" t="s">
        <v>727</v>
      </c>
      <c r="F204" s="40" t="s">
        <v>877</v>
      </c>
      <c r="G204" s="39">
        <v>3</v>
      </c>
      <c r="H204" s="2">
        <v>1987</v>
      </c>
      <c r="I204" s="10" t="s">
        <v>1032</v>
      </c>
      <c r="J204" s="43">
        <f>5*5*5</f>
        <v>125</v>
      </c>
      <c r="K204" s="9" t="s">
        <v>728</v>
      </c>
    </row>
    <row r="205" spans="1:11" ht="15.75" customHeight="1" x14ac:dyDescent="0.15">
      <c r="A205" s="62" t="s">
        <v>233</v>
      </c>
      <c r="B205" s="20" t="s">
        <v>27</v>
      </c>
      <c r="C205" s="8" t="s">
        <v>729</v>
      </c>
      <c r="D205" s="6" t="s">
        <v>839</v>
      </c>
      <c r="E205" s="30" t="s">
        <v>495</v>
      </c>
      <c r="F205" s="40" t="s">
        <v>877</v>
      </c>
      <c r="G205" s="39">
        <v>3</v>
      </c>
      <c r="H205" s="2">
        <v>1979</v>
      </c>
      <c r="I205" s="10" t="s">
        <v>962</v>
      </c>
      <c r="J205" s="43">
        <f>3*9</f>
        <v>27</v>
      </c>
      <c r="K205" s="9" t="s">
        <v>1459</v>
      </c>
    </row>
    <row r="206" spans="1:11" ht="15.75" customHeight="1" x14ac:dyDescent="0.15">
      <c r="A206" s="62" t="s">
        <v>234</v>
      </c>
      <c r="B206" s="20" t="s">
        <v>423</v>
      </c>
      <c r="C206" s="8" t="s">
        <v>730</v>
      </c>
      <c r="D206" s="6" t="s">
        <v>840</v>
      </c>
      <c r="F206" s="42">
        <v>3</v>
      </c>
      <c r="G206" s="39">
        <v>3</v>
      </c>
      <c r="H206" s="2">
        <v>1956</v>
      </c>
      <c r="I206" s="10" t="s">
        <v>1460</v>
      </c>
      <c r="J206" s="43">
        <f>1.5*1.5*0.4</f>
        <v>0.9</v>
      </c>
      <c r="K206" s="9" t="s">
        <v>1072</v>
      </c>
    </row>
    <row r="207" spans="1:11" ht="15.75" customHeight="1" x14ac:dyDescent="0.15">
      <c r="A207" s="62" t="s">
        <v>235</v>
      </c>
      <c r="B207" s="20" t="s">
        <v>882</v>
      </c>
      <c r="C207" s="8" t="s">
        <v>731</v>
      </c>
      <c r="D207" s="6" t="s">
        <v>840</v>
      </c>
      <c r="F207" s="42">
        <v>7</v>
      </c>
      <c r="G207" s="39">
        <v>13</v>
      </c>
      <c r="H207" s="2">
        <v>1873</v>
      </c>
      <c r="I207" s="34" t="s">
        <v>1001</v>
      </c>
      <c r="J207" s="34" t="s">
        <v>1001</v>
      </c>
      <c r="K207" s="45" t="s">
        <v>1129</v>
      </c>
    </row>
    <row r="208" spans="1:11" ht="15.75" customHeight="1" x14ac:dyDescent="0.15">
      <c r="A208" s="62" t="s">
        <v>236</v>
      </c>
      <c r="B208" s="20" t="s">
        <v>424</v>
      </c>
      <c r="C208" s="8" t="s">
        <v>732</v>
      </c>
      <c r="D208" s="6" t="s">
        <v>840</v>
      </c>
      <c r="E208" s="30" t="s">
        <v>733</v>
      </c>
      <c r="F208" s="40" t="s">
        <v>877</v>
      </c>
      <c r="G208" s="39">
        <v>2</v>
      </c>
      <c r="H208" s="2">
        <v>1993</v>
      </c>
      <c r="I208" s="10" t="s">
        <v>987</v>
      </c>
      <c r="J208" s="43">
        <v>8</v>
      </c>
      <c r="K208" s="9" t="s">
        <v>1073</v>
      </c>
    </row>
    <row r="209" spans="1:11" ht="15.75" customHeight="1" x14ac:dyDescent="0.15">
      <c r="A209" s="62" t="s">
        <v>237</v>
      </c>
      <c r="B209" s="20" t="s">
        <v>7</v>
      </c>
      <c r="C209" s="8" t="s">
        <v>658</v>
      </c>
      <c r="D209" s="6" t="s">
        <v>840</v>
      </c>
      <c r="E209" s="12" t="s">
        <v>1552</v>
      </c>
      <c r="F209" s="40" t="s">
        <v>877</v>
      </c>
      <c r="G209" s="39">
        <v>40</v>
      </c>
      <c r="H209" s="2">
        <v>1886</v>
      </c>
      <c r="I209" s="13" t="s">
        <v>1461</v>
      </c>
      <c r="J209" s="51">
        <f>50*20*20</f>
        <v>20000</v>
      </c>
      <c r="K209" s="45" t="s">
        <v>1165</v>
      </c>
    </row>
    <row r="210" spans="1:11" ht="15.75" customHeight="1" x14ac:dyDescent="0.15">
      <c r="A210" s="62" t="s">
        <v>238</v>
      </c>
      <c r="B210" s="20" t="s">
        <v>425</v>
      </c>
      <c r="C210" s="8" t="s">
        <v>735</v>
      </c>
      <c r="D210" s="6" t="s">
        <v>840</v>
      </c>
      <c r="F210" s="42">
        <v>6</v>
      </c>
      <c r="G210" s="39">
        <v>16</v>
      </c>
      <c r="H210" s="2">
        <v>1929</v>
      </c>
      <c r="I210" s="34" t="s">
        <v>1001</v>
      </c>
      <c r="J210" s="34" t="s">
        <v>1001</v>
      </c>
      <c r="K210" s="9" t="s">
        <v>1244</v>
      </c>
    </row>
    <row r="211" spans="1:11" ht="15.75" customHeight="1" x14ac:dyDescent="0.15">
      <c r="A211" s="62" t="s">
        <v>239</v>
      </c>
      <c r="B211" s="20" t="s">
        <v>1322</v>
      </c>
      <c r="C211" s="8" t="s">
        <v>736</v>
      </c>
      <c r="D211" s="6" t="s">
        <v>839</v>
      </c>
      <c r="E211" s="32" t="s">
        <v>632</v>
      </c>
      <c r="F211" s="40" t="s">
        <v>877</v>
      </c>
      <c r="G211" s="39">
        <v>1</v>
      </c>
      <c r="H211" s="2">
        <v>2008</v>
      </c>
      <c r="I211" s="10" t="s">
        <v>985</v>
      </c>
      <c r="J211" s="43">
        <f>0.3*0.3*0.3</f>
        <v>2.7E-2</v>
      </c>
      <c r="K211" s="9" t="s">
        <v>1074</v>
      </c>
    </row>
    <row r="212" spans="1:11" ht="15.75" customHeight="1" x14ac:dyDescent="0.2">
      <c r="A212" s="62" t="s">
        <v>240</v>
      </c>
      <c r="B212" s="20" t="s">
        <v>426</v>
      </c>
      <c r="C212" s="8" t="s">
        <v>737</v>
      </c>
      <c r="D212" s="6" t="s">
        <v>840</v>
      </c>
      <c r="E212" s="12" t="s">
        <v>1206</v>
      </c>
      <c r="F212" s="40" t="s">
        <v>877</v>
      </c>
      <c r="G212" s="39">
        <v>2</v>
      </c>
      <c r="H212" s="29">
        <v>1998</v>
      </c>
      <c r="I212" s="34" t="s">
        <v>1001</v>
      </c>
      <c r="J212" s="34" t="s">
        <v>1001</v>
      </c>
      <c r="K212" s="9" t="s">
        <v>1245</v>
      </c>
    </row>
    <row r="213" spans="1:11" ht="15.75" customHeight="1" x14ac:dyDescent="0.15">
      <c r="A213" s="62" t="s">
        <v>241</v>
      </c>
      <c r="B213" s="20" t="s">
        <v>427</v>
      </c>
      <c r="C213" s="8" t="s">
        <v>738</v>
      </c>
      <c r="D213" s="6" t="s">
        <v>840</v>
      </c>
      <c r="F213" s="40" t="s">
        <v>877</v>
      </c>
      <c r="G213" s="39">
        <v>2</v>
      </c>
      <c r="H213" s="2">
        <v>1993</v>
      </c>
      <c r="I213" s="10" t="s">
        <v>987</v>
      </c>
      <c r="J213" s="43">
        <v>8</v>
      </c>
      <c r="K213" s="45" t="s">
        <v>1462</v>
      </c>
    </row>
    <row r="214" spans="1:11" ht="15.75" customHeight="1" x14ac:dyDescent="0.15">
      <c r="A214" s="62" t="s">
        <v>242</v>
      </c>
      <c r="B214" s="20" t="s">
        <v>428</v>
      </c>
      <c r="C214" s="8" t="s">
        <v>739</v>
      </c>
      <c r="D214" s="6" t="s">
        <v>844</v>
      </c>
      <c r="F214" s="40" t="s">
        <v>877</v>
      </c>
      <c r="G214" s="39">
        <v>1</v>
      </c>
      <c r="H214" s="2">
        <v>2014</v>
      </c>
      <c r="I214" s="10" t="s">
        <v>1075</v>
      </c>
      <c r="J214" s="43">
        <f>0.001*0.001*0.001</f>
        <v>1.0000000000000001E-9</v>
      </c>
      <c r="K214" s="9" t="s">
        <v>1076</v>
      </c>
    </row>
    <row r="215" spans="1:11" ht="15.75" customHeight="1" x14ac:dyDescent="0.15">
      <c r="A215" s="62" t="s">
        <v>243</v>
      </c>
      <c r="B215" s="20" t="s">
        <v>1323</v>
      </c>
      <c r="C215" s="8" t="s">
        <v>740</v>
      </c>
      <c r="D215" s="6" t="s">
        <v>840</v>
      </c>
      <c r="F215" s="40" t="s">
        <v>877</v>
      </c>
      <c r="G215" s="39">
        <v>6</v>
      </c>
      <c r="H215" s="2">
        <v>2008</v>
      </c>
      <c r="I215" s="10" t="s">
        <v>1077</v>
      </c>
      <c r="J215" s="43">
        <f>0.02*0.02*0.011</f>
        <v>4.4000000000000002E-6</v>
      </c>
      <c r="K215" s="9" t="s">
        <v>846</v>
      </c>
    </row>
    <row r="216" spans="1:11" ht="15.75" customHeight="1" x14ac:dyDescent="0.15">
      <c r="A216" s="62" t="s">
        <v>244</v>
      </c>
      <c r="B216" s="20" t="s">
        <v>1324</v>
      </c>
      <c r="C216" s="8" t="s">
        <v>741</v>
      </c>
      <c r="D216" s="6" t="s">
        <v>840</v>
      </c>
      <c r="E216" s="12" t="s">
        <v>1592</v>
      </c>
      <c r="F216" s="40" t="s">
        <v>877</v>
      </c>
      <c r="G216" s="39">
        <v>4</v>
      </c>
      <c r="H216" s="2">
        <v>2008</v>
      </c>
      <c r="I216" s="10" t="s">
        <v>1078</v>
      </c>
      <c r="J216" s="43">
        <f>0.008*0.008*0.008</f>
        <v>5.1200000000000003E-7</v>
      </c>
      <c r="K216" s="9" t="s">
        <v>846</v>
      </c>
    </row>
    <row r="217" spans="1:11" ht="15.75" customHeight="1" x14ac:dyDescent="0.15">
      <c r="A217" s="62" t="s">
        <v>245</v>
      </c>
      <c r="B217" s="20" t="s">
        <v>429</v>
      </c>
      <c r="C217" s="8" t="s">
        <v>897</v>
      </c>
      <c r="D217" s="6" t="s">
        <v>839</v>
      </c>
      <c r="E217" s="30" t="s">
        <v>845</v>
      </c>
      <c r="F217" s="42">
        <v>3</v>
      </c>
      <c r="G217" s="39">
        <v>5</v>
      </c>
      <c r="H217" s="6">
        <v>1955</v>
      </c>
      <c r="I217" s="10" t="s">
        <v>987</v>
      </c>
      <c r="J217" s="43">
        <v>8</v>
      </c>
      <c r="K217" s="9" t="s">
        <v>1463</v>
      </c>
    </row>
    <row r="218" spans="1:11" ht="15.75" customHeight="1" x14ac:dyDescent="0.15">
      <c r="A218" s="62" t="s">
        <v>246</v>
      </c>
      <c r="B218" s="20" t="s">
        <v>430</v>
      </c>
      <c r="C218" s="61" t="s">
        <v>522</v>
      </c>
      <c r="D218" s="52" t="s">
        <v>840</v>
      </c>
      <c r="F218" s="40" t="s">
        <v>877</v>
      </c>
      <c r="G218" s="39">
        <v>3</v>
      </c>
      <c r="H218" s="2">
        <v>1834</v>
      </c>
      <c r="I218" s="13" t="s">
        <v>1465</v>
      </c>
      <c r="J218" s="43">
        <f>0.5*0.5*0.5</f>
        <v>0.125</v>
      </c>
      <c r="K218" s="9" t="s">
        <v>1246</v>
      </c>
    </row>
    <row r="219" spans="1:11" ht="15.75" customHeight="1" x14ac:dyDescent="0.15">
      <c r="A219" s="62" t="s">
        <v>247</v>
      </c>
      <c r="B219" s="20" t="s">
        <v>431</v>
      </c>
      <c r="C219" s="8" t="s">
        <v>742</v>
      </c>
      <c r="D219" s="6" t="s">
        <v>840</v>
      </c>
      <c r="F219" s="42">
        <v>2</v>
      </c>
      <c r="G219" s="39">
        <v>3</v>
      </c>
      <c r="H219" s="2">
        <v>1967</v>
      </c>
      <c r="I219" s="10" t="s">
        <v>1079</v>
      </c>
      <c r="J219" s="43">
        <f>3*0.5*0.25</f>
        <v>0.375</v>
      </c>
      <c r="K219" s="9" t="s">
        <v>1464</v>
      </c>
    </row>
    <row r="220" spans="1:11" ht="15.75" customHeight="1" x14ac:dyDescent="0.15">
      <c r="A220" s="62" t="s">
        <v>248</v>
      </c>
      <c r="B220" s="20" t="s">
        <v>432</v>
      </c>
      <c r="C220" s="8" t="s">
        <v>744</v>
      </c>
      <c r="D220" s="6" t="s">
        <v>839</v>
      </c>
      <c r="F220" s="40" t="s">
        <v>877</v>
      </c>
      <c r="G220" s="39">
        <v>1</v>
      </c>
      <c r="H220" s="2">
        <v>2010</v>
      </c>
      <c r="I220" s="10" t="s">
        <v>1080</v>
      </c>
      <c r="J220" s="43">
        <f>0.25*0.1*0.1</f>
        <v>2.5000000000000005E-3</v>
      </c>
      <c r="K220" s="9" t="s">
        <v>1081</v>
      </c>
    </row>
    <row r="221" spans="1:11" ht="15.75" customHeight="1" x14ac:dyDescent="0.15">
      <c r="A221" s="62" t="s">
        <v>249</v>
      </c>
      <c r="B221" s="20" t="s">
        <v>433</v>
      </c>
      <c r="C221" s="73" t="s">
        <v>743</v>
      </c>
      <c r="D221" s="6" t="s">
        <v>839</v>
      </c>
      <c r="E221" s="12" t="s">
        <v>495</v>
      </c>
      <c r="F221" s="63" t="s">
        <v>877</v>
      </c>
      <c r="G221" s="65">
        <v>32</v>
      </c>
      <c r="H221" s="2">
        <v>1998</v>
      </c>
      <c r="I221" s="10" t="s">
        <v>1082</v>
      </c>
      <c r="J221" s="43">
        <f>25*5*5</f>
        <v>625</v>
      </c>
      <c r="K221" s="9" t="s">
        <v>1083</v>
      </c>
    </row>
    <row r="222" spans="1:11" ht="15.75" customHeight="1" x14ac:dyDescent="0.15">
      <c r="A222" s="62" t="s">
        <v>250</v>
      </c>
      <c r="B222" s="20" t="s">
        <v>434</v>
      </c>
      <c r="C222" s="8" t="s">
        <v>745</v>
      </c>
      <c r="D222" s="6" t="s">
        <v>840</v>
      </c>
      <c r="E222" s="12" t="s">
        <v>1534</v>
      </c>
      <c r="F222" s="42">
        <v>2</v>
      </c>
      <c r="G222" s="39">
        <v>3</v>
      </c>
      <c r="H222" s="2">
        <v>1937</v>
      </c>
      <c r="I222" s="10" t="s">
        <v>1215</v>
      </c>
      <c r="J222" s="43">
        <f>5*0.5*1.5</f>
        <v>3.75</v>
      </c>
      <c r="K222" s="9" t="s">
        <v>1247</v>
      </c>
    </row>
    <row r="223" spans="1:11" ht="15.75" customHeight="1" x14ac:dyDescent="0.15">
      <c r="A223" s="62" t="s">
        <v>251</v>
      </c>
      <c r="B223" s="20" t="s">
        <v>1356</v>
      </c>
      <c r="C223" s="8" t="s">
        <v>1357</v>
      </c>
      <c r="D223" s="6" t="s">
        <v>839</v>
      </c>
      <c r="E223" s="9" t="s">
        <v>1358</v>
      </c>
      <c r="F223" s="40" t="s">
        <v>877</v>
      </c>
      <c r="G223" s="39">
        <v>1</v>
      </c>
      <c r="H223" s="2">
        <v>2016</v>
      </c>
      <c r="I223" s="34" t="s">
        <v>1001</v>
      </c>
      <c r="J223" s="34" t="s">
        <v>1001</v>
      </c>
      <c r="K223" s="12" t="s">
        <v>1385</v>
      </c>
    </row>
    <row r="224" spans="1:11" ht="15.75" customHeight="1" x14ac:dyDescent="0.15">
      <c r="A224" s="62" t="s">
        <v>252</v>
      </c>
      <c r="B224" s="20" t="s">
        <v>435</v>
      </c>
      <c r="C224" s="8" t="s">
        <v>732</v>
      </c>
      <c r="D224" s="6" t="s">
        <v>840</v>
      </c>
      <c r="E224" s="30" t="s">
        <v>734</v>
      </c>
      <c r="F224" s="40" t="s">
        <v>877</v>
      </c>
      <c r="G224" s="39">
        <v>1</v>
      </c>
      <c r="H224" s="2">
        <v>1993</v>
      </c>
      <c r="I224" s="10" t="s">
        <v>1084</v>
      </c>
      <c r="J224" s="43">
        <f>7*4*4</f>
        <v>112</v>
      </c>
      <c r="K224" s="9" t="s">
        <v>1073</v>
      </c>
    </row>
    <row r="225" spans="1:11" ht="15.75" customHeight="1" x14ac:dyDescent="0.15">
      <c r="A225" s="62" t="s">
        <v>253</v>
      </c>
      <c r="B225" s="20" t="s">
        <v>436</v>
      </c>
      <c r="C225" s="8" t="s">
        <v>746</v>
      </c>
      <c r="D225" s="6" t="s">
        <v>840</v>
      </c>
      <c r="E225" s="12" t="s">
        <v>1547</v>
      </c>
      <c r="F225" s="42">
        <v>4</v>
      </c>
      <c r="G225" s="39">
        <v>5</v>
      </c>
      <c r="H225" s="2">
        <v>1966</v>
      </c>
      <c r="I225" s="34" t="s">
        <v>1001</v>
      </c>
      <c r="J225" s="34" t="s">
        <v>1001</v>
      </c>
      <c r="K225" s="45" t="s">
        <v>1085</v>
      </c>
    </row>
    <row r="226" spans="1:11" ht="15.75" customHeight="1" x14ac:dyDescent="0.15">
      <c r="A226" s="62" t="s">
        <v>254</v>
      </c>
      <c r="B226" s="20" t="s">
        <v>437</v>
      </c>
      <c r="C226" s="8" t="s">
        <v>747</v>
      </c>
      <c r="D226" s="6" t="s">
        <v>840</v>
      </c>
      <c r="F226" s="40" t="s">
        <v>877</v>
      </c>
      <c r="G226" s="39">
        <v>1</v>
      </c>
      <c r="H226" s="2">
        <v>2008</v>
      </c>
      <c r="I226" s="10" t="s">
        <v>1075</v>
      </c>
      <c r="J226" s="43">
        <f>0.001*0.001*0.001</f>
        <v>1.0000000000000001E-9</v>
      </c>
      <c r="K226" s="12" t="s">
        <v>1248</v>
      </c>
    </row>
    <row r="227" spans="1:11" ht="15.75" customHeight="1" x14ac:dyDescent="0.15">
      <c r="A227" s="62" t="s">
        <v>255</v>
      </c>
      <c r="B227" s="20" t="s">
        <v>438</v>
      </c>
      <c r="C227" s="8" t="s">
        <v>748</v>
      </c>
      <c r="D227" s="6" t="s">
        <v>840</v>
      </c>
      <c r="E227" s="12" t="s">
        <v>1611</v>
      </c>
      <c r="F227" s="42">
        <v>1</v>
      </c>
      <c r="G227" s="39">
        <v>5</v>
      </c>
      <c r="H227" s="2">
        <v>1970</v>
      </c>
      <c r="I227" s="10" t="s">
        <v>1086</v>
      </c>
      <c r="J227" s="43">
        <f>0.06*0.06*0.06</f>
        <v>2.1599999999999999E-4</v>
      </c>
      <c r="K227" s="9" t="s">
        <v>1087</v>
      </c>
    </row>
    <row r="228" spans="1:11" ht="15.75" customHeight="1" x14ac:dyDescent="0.15">
      <c r="A228" s="62" t="s">
        <v>256</v>
      </c>
      <c r="B228" s="20" t="s">
        <v>439</v>
      </c>
      <c r="C228" s="8" t="s">
        <v>749</v>
      </c>
      <c r="D228" s="6" t="s">
        <v>840</v>
      </c>
      <c r="F228" s="42">
        <v>20</v>
      </c>
      <c r="G228" s="39">
        <v>45</v>
      </c>
      <c r="H228" s="2">
        <v>1800</v>
      </c>
      <c r="I228" s="34" t="s">
        <v>1001</v>
      </c>
      <c r="J228" s="34" t="s">
        <v>1001</v>
      </c>
      <c r="K228" s="12" t="s">
        <v>1249</v>
      </c>
    </row>
    <row r="229" spans="1:11" ht="15.75" customHeight="1" x14ac:dyDescent="0.15">
      <c r="A229" s="62" t="s">
        <v>257</v>
      </c>
      <c r="B229" s="20" t="s">
        <v>440</v>
      </c>
      <c r="C229" s="8" t="s">
        <v>750</v>
      </c>
      <c r="D229" s="6" t="s">
        <v>840</v>
      </c>
      <c r="F229" s="42">
        <v>1</v>
      </c>
      <c r="G229" s="39">
        <v>1</v>
      </c>
      <c r="H229" s="2">
        <v>1969</v>
      </c>
      <c r="I229" s="10" t="s">
        <v>1088</v>
      </c>
      <c r="J229" s="43">
        <f>0.02*0.02*0.02</f>
        <v>8.0000000000000013E-6</v>
      </c>
      <c r="K229" s="9" t="s">
        <v>751</v>
      </c>
    </row>
    <row r="230" spans="1:11" ht="15.75" customHeight="1" x14ac:dyDescent="0.15">
      <c r="A230" s="62" t="s">
        <v>258</v>
      </c>
      <c r="B230" s="20" t="s">
        <v>441</v>
      </c>
      <c r="C230" s="8" t="s">
        <v>752</v>
      </c>
      <c r="D230" s="6" t="s">
        <v>840</v>
      </c>
      <c r="F230" s="42">
        <v>2</v>
      </c>
      <c r="G230" s="39">
        <v>2</v>
      </c>
      <c r="H230" s="2">
        <v>1957</v>
      </c>
      <c r="I230" s="34" t="s">
        <v>1001</v>
      </c>
      <c r="J230" s="34" t="s">
        <v>1001</v>
      </c>
      <c r="K230" s="12" t="s">
        <v>1250</v>
      </c>
    </row>
    <row r="231" spans="1:11" ht="15.75" customHeight="1" x14ac:dyDescent="0.15">
      <c r="A231" s="62" t="s">
        <v>259</v>
      </c>
      <c r="B231" s="20" t="s">
        <v>442</v>
      </c>
      <c r="C231" s="8" t="s">
        <v>753</v>
      </c>
      <c r="D231" s="6" t="s">
        <v>840</v>
      </c>
      <c r="F231" s="40" t="s">
        <v>877</v>
      </c>
      <c r="G231" s="39">
        <v>1</v>
      </c>
      <c r="H231" s="2">
        <v>2001</v>
      </c>
      <c r="I231" s="10" t="s">
        <v>1014</v>
      </c>
      <c r="J231" s="43">
        <f>0.4*0.4*0.4</f>
        <v>6.4000000000000015E-2</v>
      </c>
      <c r="K231" s="9" t="s">
        <v>915</v>
      </c>
    </row>
    <row r="232" spans="1:11" ht="15.75" customHeight="1" x14ac:dyDescent="0.15">
      <c r="A232" s="62" t="s">
        <v>260</v>
      </c>
      <c r="B232" s="20" t="s">
        <v>35</v>
      </c>
      <c r="C232" s="8" t="s">
        <v>754</v>
      </c>
      <c r="D232" s="6" t="s">
        <v>839</v>
      </c>
      <c r="E232" s="30" t="s">
        <v>495</v>
      </c>
      <c r="F232" s="64">
        <v>1223</v>
      </c>
      <c r="G232" s="65">
        <v>2443</v>
      </c>
      <c r="H232" s="34" t="s">
        <v>1001</v>
      </c>
      <c r="I232" s="34" t="s">
        <v>1001</v>
      </c>
      <c r="J232" s="34" t="s">
        <v>1001</v>
      </c>
      <c r="K232" s="34" t="s">
        <v>1001</v>
      </c>
    </row>
    <row r="233" spans="1:11" ht="15.75" customHeight="1" x14ac:dyDescent="0.15">
      <c r="A233" s="62" t="s">
        <v>261</v>
      </c>
      <c r="B233" s="20" t="s">
        <v>21</v>
      </c>
      <c r="C233" s="8" t="s">
        <v>755</v>
      </c>
      <c r="D233" s="6" t="s">
        <v>840</v>
      </c>
      <c r="F233" s="66">
        <v>1</v>
      </c>
      <c r="G233" s="39">
        <v>3</v>
      </c>
      <c r="H233" s="2">
        <v>1930</v>
      </c>
      <c r="I233" s="10" t="s">
        <v>1089</v>
      </c>
      <c r="J233" s="43">
        <f>10*2*1</f>
        <v>20</v>
      </c>
      <c r="K233" s="9" t="s">
        <v>1090</v>
      </c>
    </row>
    <row r="234" spans="1:11" ht="15.75" customHeight="1" x14ac:dyDescent="0.15">
      <c r="A234" s="62" t="s">
        <v>262</v>
      </c>
      <c r="B234" s="20" t="s">
        <v>443</v>
      </c>
      <c r="C234" s="8" t="s">
        <v>756</v>
      </c>
      <c r="D234" s="6" t="s">
        <v>839</v>
      </c>
      <c r="F234" s="66">
        <v>16</v>
      </c>
      <c r="G234" s="39">
        <v>25</v>
      </c>
      <c r="H234" s="2">
        <v>1914</v>
      </c>
      <c r="I234" s="34" t="s">
        <v>1001</v>
      </c>
      <c r="J234" s="34" t="s">
        <v>1001</v>
      </c>
      <c r="K234" s="9" t="s">
        <v>1466</v>
      </c>
    </row>
    <row r="235" spans="1:11" ht="15.75" customHeight="1" x14ac:dyDescent="0.15">
      <c r="A235" s="62" t="s">
        <v>263</v>
      </c>
      <c r="B235" s="20" t="s">
        <v>6</v>
      </c>
      <c r="C235" s="8" t="s">
        <v>757</v>
      </c>
      <c r="D235" s="6" t="s">
        <v>839</v>
      </c>
      <c r="F235" s="66">
        <v>7</v>
      </c>
      <c r="G235" s="39">
        <v>17</v>
      </c>
      <c r="H235" s="2">
        <v>1903</v>
      </c>
      <c r="I235" s="10" t="s">
        <v>1467</v>
      </c>
      <c r="J235" s="43">
        <f>6*2*2</f>
        <v>24</v>
      </c>
      <c r="K235" s="9" t="s">
        <v>1513</v>
      </c>
    </row>
    <row r="236" spans="1:11" ht="15.75" customHeight="1" x14ac:dyDescent="0.15">
      <c r="A236" s="62" t="s">
        <v>264</v>
      </c>
      <c r="B236" s="20" t="s">
        <v>444</v>
      </c>
      <c r="C236" s="8" t="s">
        <v>758</v>
      </c>
      <c r="D236" s="6" t="s">
        <v>840</v>
      </c>
      <c r="F236" s="40" t="s">
        <v>877</v>
      </c>
      <c r="G236" s="39">
        <v>1</v>
      </c>
      <c r="H236" s="2">
        <v>1980</v>
      </c>
      <c r="I236" s="34" t="s">
        <v>1001</v>
      </c>
      <c r="J236" s="34" t="s">
        <v>1001</v>
      </c>
      <c r="K236" s="9" t="s">
        <v>760</v>
      </c>
    </row>
    <row r="237" spans="1:11" ht="15.75" customHeight="1" x14ac:dyDescent="0.15">
      <c r="A237" s="62" t="s">
        <v>265</v>
      </c>
      <c r="B237" s="20" t="s">
        <v>445</v>
      </c>
      <c r="C237" s="8" t="s">
        <v>759</v>
      </c>
      <c r="D237" s="6" t="s">
        <v>840</v>
      </c>
      <c r="E237" s="28"/>
      <c r="F237" s="40" t="s">
        <v>877</v>
      </c>
      <c r="G237" s="39">
        <v>1</v>
      </c>
      <c r="H237" s="2">
        <v>2013</v>
      </c>
      <c r="I237" s="46" t="s">
        <v>1469</v>
      </c>
      <c r="J237" s="43">
        <f>3*3*0.005</f>
        <v>4.4999999999999998E-2</v>
      </c>
      <c r="K237" s="12" t="s">
        <v>1468</v>
      </c>
    </row>
    <row r="238" spans="1:11" ht="15.75" customHeight="1" x14ac:dyDescent="0.15">
      <c r="A238" s="62" t="s">
        <v>266</v>
      </c>
      <c r="B238" s="20" t="s">
        <v>446</v>
      </c>
      <c r="C238" s="8" t="s">
        <v>713</v>
      </c>
      <c r="D238" s="6" t="s">
        <v>840</v>
      </c>
      <c r="E238" s="30" t="s">
        <v>715</v>
      </c>
      <c r="F238" s="66">
        <v>3</v>
      </c>
      <c r="G238" s="39">
        <v>4</v>
      </c>
      <c r="H238" s="2">
        <v>1962</v>
      </c>
      <c r="I238" s="10" t="s">
        <v>1067</v>
      </c>
      <c r="J238" s="43">
        <f>1.5*1.5*1.5</f>
        <v>3.375</v>
      </c>
      <c r="K238" s="9" t="s">
        <v>1470</v>
      </c>
    </row>
    <row r="239" spans="1:11" ht="15.75" customHeight="1" x14ac:dyDescent="0.15">
      <c r="A239" s="62" t="s">
        <v>267</v>
      </c>
      <c r="B239" s="20" t="s">
        <v>447</v>
      </c>
      <c r="C239" s="8" t="s">
        <v>761</v>
      </c>
      <c r="D239" s="6" t="s">
        <v>840</v>
      </c>
      <c r="E239" s="12" t="s">
        <v>1205</v>
      </c>
      <c r="F239" s="66">
        <v>7</v>
      </c>
      <c r="G239" s="39">
        <v>15</v>
      </c>
      <c r="H239" s="2">
        <v>1952</v>
      </c>
      <c r="I239" s="10">
        <f>8.593/3.5</f>
        <v>2.4551428571428571</v>
      </c>
      <c r="J239" s="43">
        <f>I239*10*10*10</f>
        <v>2455.1428571428569</v>
      </c>
      <c r="K239" s="9" t="s">
        <v>1471</v>
      </c>
    </row>
    <row r="240" spans="1:11" ht="15.75" customHeight="1" x14ac:dyDescent="0.15">
      <c r="A240" s="62" t="s">
        <v>268</v>
      </c>
      <c r="B240" s="20" t="s">
        <v>448</v>
      </c>
      <c r="C240" s="8" t="s">
        <v>762</v>
      </c>
      <c r="D240" s="6" t="s">
        <v>840</v>
      </c>
      <c r="F240" s="66">
        <v>1</v>
      </c>
      <c r="G240" s="39">
        <v>2</v>
      </c>
      <c r="H240" s="2">
        <v>1974</v>
      </c>
      <c r="I240" s="10" t="s">
        <v>1091</v>
      </c>
      <c r="J240" s="43">
        <f>0.2*0.2*0.1</f>
        <v>4.000000000000001E-3</v>
      </c>
      <c r="K240" s="50" t="s">
        <v>1251</v>
      </c>
    </row>
    <row r="241" spans="1:173" ht="15.75" customHeight="1" x14ac:dyDescent="0.15">
      <c r="A241" s="62" t="s">
        <v>269</v>
      </c>
      <c r="B241" s="20" t="s">
        <v>449</v>
      </c>
      <c r="C241" s="15" t="s">
        <v>605</v>
      </c>
      <c r="D241" s="6" t="s">
        <v>839</v>
      </c>
      <c r="E241" s="28"/>
      <c r="F241" s="40" t="s">
        <v>877</v>
      </c>
      <c r="G241" s="39">
        <v>1</v>
      </c>
      <c r="H241" s="2">
        <v>2014</v>
      </c>
      <c r="I241" s="10" t="s">
        <v>1472</v>
      </c>
      <c r="J241" s="43">
        <f>0.006*0.01*0.5</f>
        <v>3.0000000000000001E-5</v>
      </c>
      <c r="K241" s="9" t="s">
        <v>1473</v>
      </c>
    </row>
    <row r="242" spans="1:173" s="17" customFormat="1" ht="15.75" customHeight="1" x14ac:dyDescent="0.15">
      <c r="A242" s="62" t="s">
        <v>270</v>
      </c>
      <c r="B242" s="20" t="s">
        <v>1325</v>
      </c>
      <c r="C242" s="8" t="s">
        <v>763</v>
      </c>
      <c r="D242" s="6" t="s">
        <v>839</v>
      </c>
      <c r="E242" s="9"/>
      <c r="F242" s="66">
        <v>6</v>
      </c>
      <c r="G242" s="39">
        <v>11</v>
      </c>
      <c r="H242" s="2">
        <v>1955</v>
      </c>
      <c r="I242" s="10" t="s">
        <v>1032</v>
      </c>
      <c r="J242" s="43">
        <f>5*25</f>
        <v>125</v>
      </c>
      <c r="K242" s="9" t="s">
        <v>1474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  <c r="FO242"/>
      <c r="FP242"/>
      <c r="FQ242"/>
    </row>
    <row r="243" spans="1:173" ht="15.75" customHeight="1" x14ac:dyDescent="0.15">
      <c r="A243" s="62" t="s">
        <v>271</v>
      </c>
      <c r="B243" s="20" t="s">
        <v>450</v>
      </c>
      <c r="C243" s="8" t="s">
        <v>764</v>
      </c>
      <c r="D243" s="6" t="s">
        <v>840</v>
      </c>
      <c r="E243" s="12" t="s">
        <v>1540</v>
      </c>
      <c r="F243" s="66">
        <v>1</v>
      </c>
      <c r="G243" s="39">
        <v>5</v>
      </c>
      <c r="H243" s="2">
        <v>1959</v>
      </c>
      <c r="I243" s="10" t="s">
        <v>1092</v>
      </c>
      <c r="J243" s="43">
        <f>3*1*0.5</f>
        <v>1.5</v>
      </c>
      <c r="K243" s="12" t="s">
        <v>1333</v>
      </c>
    </row>
    <row r="244" spans="1:173" ht="15.75" customHeight="1" x14ac:dyDescent="0.15">
      <c r="A244" s="62" t="s">
        <v>272</v>
      </c>
      <c r="B244" s="20" t="s">
        <v>451</v>
      </c>
      <c r="C244" s="8" t="s">
        <v>765</v>
      </c>
      <c r="D244" s="6" t="s">
        <v>840</v>
      </c>
      <c r="F244" s="40" t="s">
        <v>877</v>
      </c>
      <c r="G244" s="39">
        <v>1</v>
      </c>
      <c r="H244" s="2">
        <v>1995</v>
      </c>
      <c r="I244" s="10" t="s">
        <v>1032</v>
      </c>
      <c r="J244" s="43">
        <f>5*25</f>
        <v>125</v>
      </c>
      <c r="K244" s="9" t="s">
        <v>766</v>
      </c>
    </row>
    <row r="245" spans="1:173" ht="15.75" customHeight="1" x14ac:dyDescent="0.15">
      <c r="A245" s="62" t="s">
        <v>273</v>
      </c>
      <c r="B245" s="20" t="s">
        <v>452</v>
      </c>
      <c r="C245" s="8" t="s">
        <v>767</v>
      </c>
      <c r="D245" s="6" t="s">
        <v>842</v>
      </c>
      <c r="E245" s="30" t="s">
        <v>544</v>
      </c>
      <c r="F245" s="40" t="s">
        <v>877</v>
      </c>
      <c r="G245" s="39">
        <v>1</v>
      </c>
      <c r="H245" s="2">
        <v>1983</v>
      </c>
      <c r="I245" s="10" t="s">
        <v>1093</v>
      </c>
      <c r="J245" s="43">
        <f>2*2*0.7</f>
        <v>2.8</v>
      </c>
      <c r="K245" s="12" t="s">
        <v>1252</v>
      </c>
    </row>
    <row r="246" spans="1:173" ht="15.75" customHeight="1" x14ac:dyDescent="0.15">
      <c r="A246" s="62" t="s">
        <v>274</v>
      </c>
      <c r="B246" s="20" t="s">
        <v>453</v>
      </c>
      <c r="C246" s="8" t="s">
        <v>768</v>
      </c>
      <c r="D246" s="6" t="s">
        <v>840</v>
      </c>
      <c r="F246" s="66">
        <v>9</v>
      </c>
      <c r="G246" s="39">
        <v>19</v>
      </c>
      <c r="H246" s="2">
        <v>1953</v>
      </c>
      <c r="I246" s="13" t="s">
        <v>1216</v>
      </c>
      <c r="J246" s="51">
        <f>30*9</f>
        <v>270</v>
      </c>
      <c r="K246" s="12" t="s">
        <v>1475</v>
      </c>
    </row>
    <row r="247" spans="1:173" ht="15.75" customHeight="1" x14ac:dyDescent="0.15">
      <c r="A247" s="62" t="s">
        <v>275</v>
      </c>
      <c r="B247" s="20" t="s">
        <v>454</v>
      </c>
      <c r="C247" s="8" t="s">
        <v>769</v>
      </c>
      <c r="D247" s="6" t="s">
        <v>840</v>
      </c>
      <c r="F247" s="66">
        <v>11</v>
      </c>
      <c r="G247" s="39">
        <v>13</v>
      </c>
      <c r="H247" s="2">
        <v>1893</v>
      </c>
      <c r="I247" s="10" t="s">
        <v>1094</v>
      </c>
      <c r="J247" s="43">
        <f>10*4*3</f>
        <v>120</v>
      </c>
      <c r="K247" s="12" t="s">
        <v>1253</v>
      </c>
    </row>
    <row r="248" spans="1:173" ht="15.75" customHeight="1" x14ac:dyDescent="0.15">
      <c r="A248" s="62" t="s">
        <v>276</v>
      </c>
      <c r="B248" s="20" t="s">
        <v>455</v>
      </c>
      <c r="C248" s="8" t="s">
        <v>898</v>
      </c>
      <c r="D248" s="6" t="s">
        <v>840</v>
      </c>
      <c r="E248" s="23" t="s">
        <v>909</v>
      </c>
      <c r="F248" s="66">
        <v>4</v>
      </c>
      <c r="G248" s="39">
        <v>22</v>
      </c>
      <c r="H248" s="2">
        <v>1868</v>
      </c>
      <c r="I248" s="34" t="s">
        <v>1001</v>
      </c>
      <c r="J248" s="34" t="s">
        <v>1001</v>
      </c>
      <c r="K248" s="45" t="s">
        <v>1130</v>
      </c>
    </row>
    <row r="249" spans="1:173" ht="15.75" customHeight="1" x14ac:dyDescent="0.15">
      <c r="A249" s="62" t="s">
        <v>277</v>
      </c>
      <c r="B249" s="20" t="s">
        <v>908</v>
      </c>
      <c r="C249" s="8" t="s">
        <v>899</v>
      </c>
      <c r="D249" s="6" t="s">
        <v>840</v>
      </c>
      <c r="E249" s="12" t="s">
        <v>1596</v>
      </c>
      <c r="F249" s="64">
        <v>41</v>
      </c>
      <c r="G249" s="65">
        <v>82</v>
      </c>
      <c r="H249" s="2">
        <v>1862</v>
      </c>
      <c r="I249" s="13" t="s">
        <v>1477</v>
      </c>
      <c r="J249" s="43">
        <f>0.001*0.001*0.02</f>
        <v>2E-8</v>
      </c>
      <c r="K249" s="45" t="s">
        <v>1476</v>
      </c>
      <c r="AX249" s="17"/>
      <c r="AY249" s="17"/>
      <c r="AZ249" s="17"/>
      <c r="BA249" s="17"/>
      <c r="BB249" s="17"/>
      <c r="BC249" s="17"/>
      <c r="BD249" s="17"/>
      <c r="BE249" s="17"/>
      <c r="BF249" s="17"/>
      <c r="BG249" s="17"/>
      <c r="BH249" s="17"/>
      <c r="BI249" s="17"/>
      <c r="BJ249" s="17"/>
      <c r="BK249" s="17"/>
      <c r="BL249" s="17"/>
      <c r="BM249" s="17"/>
      <c r="BN249" s="17"/>
      <c r="BO249" s="17"/>
      <c r="BP249" s="17"/>
      <c r="BQ249" s="17"/>
      <c r="BR249" s="17"/>
      <c r="BS249" s="17"/>
      <c r="BT249" s="17"/>
      <c r="BU249" s="17"/>
      <c r="BV249" s="17"/>
      <c r="BW249" s="17"/>
      <c r="BX249" s="17"/>
      <c r="BY249" s="17"/>
      <c r="BZ249" s="17"/>
      <c r="CA249" s="17"/>
      <c r="CB249" s="17"/>
      <c r="CC249" s="17"/>
      <c r="CD249" s="17"/>
      <c r="CE249" s="17"/>
      <c r="CF249" s="17"/>
      <c r="CG249" s="17"/>
      <c r="CH249" s="17"/>
      <c r="CI249" s="17"/>
      <c r="CJ249" s="17"/>
      <c r="CK249" s="17"/>
      <c r="CL249" s="17"/>
      <c r="CM249" s="17"/>
      <c r="CN249" s="17"/>
      <c r="CO249" s="17"/>
      <c r="CP249" s="17"/>
      <c r="CQ249" s="17"/>
      <c r="CR249" s="17"/>
      <c r="CS249" s="17"/>
      <c r="CT249" s="17"/>
      <c r="CU249" s="17"/>
      <c r="CV249" s="17"/>
      <c r="CW249" s="17"/>
      <c r="CX249" s="17"/>
      <c r="CY249" s="17"/>
      <c r="CZ249" s="17"/>
      <c r="DA249" s="17"/>
      <c r="DB249" s="17"/>
      <c r="DC249" s="17"/>
      <c r="DD249" s="17"/>
      <c r="DE249" s="17"/>
      <c r="DF249" s="17"/>
      <c r="DG249" s="17"/>
      <c r="DH249" s="17"/>
      <c r="DI249" s="17"/>
      <c r="DJ249" s="17"/>
      <c r="DK249" s="17"/>
      <c r="DL249" s="17"/>
      <c r="DM249" s="17"/>
      <c r="DN249" s="17"/>
      <c r="DO249" s="17"/>
      <c r="DP249" s="17"/>
      <c r="DQ249" s="17"/>
      <c r="DR249" s="17"/>
      <c r="DS249" s="17"/>
      <c r="DT249" s="17"/>
      <c r="DU249" s="17"/>
      <c r="DV249" s="17"/>
      <c r="DW249" s="17"/>
      <c r="DX249" s="17"/>
      <c r="DY249" s="17"/>
      <c r="DZ249" s="17"/>
      <c r="EA249" s="17"/>
      <c r="EB249" s="17"/>
      <c r="EC249" s="17"/>
      <c r="ED249" s="17"/>
      <c r="EE249" s="17"/>
      <c r="EF249" s="17"/>
      <c r="EG249" s="17"/>
      <c r="EH249" s="17"/>
      <c r="EI249" s="17"/>
      <c r="EJ249" s="17"/>
      <c r="EK249" s="17"/>
      <c r="EL249" s="17"/>
      <c r="EM249" s="17"/>
      <c r="EN249" s="17"/>
      <c r="EO249" s="17"/>
      <c r="EP249" s="17"/>
      <c r="EQ249" s="17"/>
      <c r="ER249" s="17"/>
      <c r="ES249" s="17"/>
      <c r="ET249" s="17"/>
      <c r="EU249" s="17"/>
      <c r="EV249" s="17"/>
      <c r="EW249" s="17"/>
      <c r="EX249" s="17"/>
      <c r="EY249" s="17"/>
      <c r="EZ249" s="17"/>
      <c r="FA249" s="17"/>
      <c r="FB249" s="17"/>
      <c r="FC249" s="17"/>
      <c r="FD249" s="17"/>
      <c r="FE249" s="17"/>
      <c r="FF249" s="17"/>
      <c r="FG249" s="17"/>
      <c r="FH249" s="17"/>
      <c r="FI249" s="17"/>
      <c r="FJ249" s="17"/>
      <c r="FK249" s="17"/>
      <c r="FL249" s="17"/>
      <c r="FM249" s="17"/>
      <c r="FN249" s="17"/>
      <c r="FO249" s="17"/>
      <c r="FP249" s="17"/>
      <c r="FQ249" s="17"/>
    </row>
    <row r="250" spans="1:173" ht="15.75" customHeight="1" x14ac:dyDescent="0.15">
      <c r="A250" s="62" t="s">
        <v>278</v>
      </c>
      <c r="B250" s="20" t="s">
        <v>456</v>
      </c>
      <c r="C250" s="8" t="s">
        <v>584</v>
      </c>
      <c r="D250" s="6" t="s">
        <v>839</v>
      </c>
      <c r="E250" s="12" t="s">
        <v>579</v>
      </c>
      <c r="F250" s="40" t="s">
        <v>877</v>
      </c>
      <c r="G250" s="39">
        <v>1</v>
      </c>
      <c r="H250" s="2">
        <v>2013</v>
      </c>
      <c r="I250" s="10" t="s">
        <v>1095</v>
      </c>
      <c r="J250" s="43">
        <f>0.002*0.002*0.002</f>
        <v>8.0000000000000005E-9</v>
      </c>
      <c r="K250" s="9" t="s">
        <v>869</v>
      </c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</row>
    <row r="251" spans="1:173" ht="15.75" customHeight="1" x14ac:dyDescent="0.15">
      <c r="A251" s="62" t="s">
        <v>279</v>
      </c>
      <c r="B251" s="20" t="s">
        <v>1326</v>
      </c>
      <c r="C251" s="8" t="s">
        <v>770</v>
      </c>
      <c r="D251" s="6" t="s">
        <v>839</v>
      </c>
      <c r="E251" s="32" t="s">
        <v>563</v>
      </c>
      <c r="F251" s="74">
        <v>1</v>
      </c>
      <c r="G251" s="39">
        <v>2</v>
      </c>
      <c r="H251" s="2">
        <v>1970</v>
      </c>
      <c r="I251" s="34" t="s">
        <v>1001</v>
      </c>
      <c r="J251" s="34" t="s">
        <v>1001</v>
      </c>
      <c r="K251" s="12" t="s">
        <v>1478</v>
      </c>
      <c r="L251" s="16"/>
    </row>
    <row r="252" spans="1:173" ht="15.75" customHeight="1" x14ac:dyDescent="0.15">
      <c r="A252" s="62" t="s">
        <v>280</v>
      </c>
      <c r="B252" s="20" t="s">
        <v>457</v>
      </c>
      <c r="C252" s="8" t="s">
        <v>771</v>
      </c>
      <c r="D252" s="6" t="s">
        <v>840</v>
      </c>
      <c r="F252" s="40" t="s">
        <v>877</v>
      </c>
      <c r="G252" s="39">
        <v>1</v>
      </c>
      <c r="H252" s="2">
        <v>1995</v>
      </c>
      <c r="I252" s="10" t="s">
        <v>1096</v>
      </c>
      <c r="J252" s="43">
        <f>0.8*0.3*0.3</f>
        <v>7.1999999999999995E-2</v>
      </c>
      <c r="K252" s="9" t="s">
        <v>772</v>
      </c>
    </row>
    <row r="253" spans="1:173" ht="15.75" customHeight="1" x14ac:dyDescent="0.15">
      <c r="A253" s="62" t="s">
        <v>281</v>
      </c>
      <c r="B253" s="20" t="s">
        <v>879</v>
      </c>
      <c r="C253" s="8" t="s">
        <v>773</v>
      </c>
      <c r="D253" s="6" t="s">
        <v>840</v>
      </c>
      <c r="E253" s="32" t="s">
        <v>526</v>
      </c>
      <c r="F253" s="40" t="s">
        <v>877</v>
      </c>
      <c r="G253" s="39">
        <v>1</v>
      </c>
      <c r="H253" s="2">
        <v>1980</v>
      </c>
      <c r="I253" s="13" t="s">
        <v>1217</v>
      </c>
      <c r="J253" s="43">
        <f>10*0.5*0.5</f>
        <v>2.5</v>
      </c>
      <c r="K253" s="12" t="s">
        <v>1128</v>
      </c>
    </row>
    <row r="254" spans="1:173" ht="15.75" customHeight="1" x14ac:dyDescent="0.15">
      <c r="A254" s="62" t="s">
        <v>282</v>
      </c>
      <c r="B254" s="20" t="s">
        <v>458</v>
      </c>
      <c r="C254" s="8" t="s">
        <v>774</v>
      </c>
      <c r="D254" s="6" t="s">
        <v>839</v>
      </c>
      <c r="E254" s="9" t="s">
        <v>1580</v>
      </c>
      <c r="F254" s="42">
        <v>1</v>
      </c>
      <c r="G254" s="39">
        <v>2</v>
      </c>
      <c r="H254" s="2">
        <v>1908</v>
      </c>
      <c r="I254" s="34" t="s">
        <v>1001</v>
      </c>
      <c r="J254" s="34" t="s">
        <v>1001</v>
      </c>
      <c r="K254" s="45" t="s">
        <v>1479</v>
      </c>
    </row>
    <row r="255" spans="1:173" ht="15.75" customHeight="1" x14ac:dyDescent="0.15">
      <c r="A255" s="62" t="s">
        <v>283</v>
      </c>
      <c r="B255" s="20" t="s">
        <v>935</v>
      </c>
      <c r="C255" s="8" t="s">
        <v>936</v>
      </c>
      <c r="D255" s="6" t="s">
        <v>842</v>
      </c>
      <c r="E255" s="28" t="s">
        <v>544</v>
      </c>
      <c r="F255" s="40" t="s">
        <v>877</v>
      </c>
      <c r="G255" s="39">
        <v>1</v>
      </c>
      <c r="H255" s="2">
        <v>2016</v>
      </c>
      <c r="I255" s="13" t="s">
        <v>974</v>
      </c>
      <c r="J255" s="51">
        <f>1*1*1</f>
        <v>1</v>
      </c>
      <c r="K255" s="45" t="s">
        <v>1480</v>
      </c>
    </row>
    <row r="256" spans="1:173" ht="15.75" customHeight="1" x14ac:dyDescent="0.15">
      <c r="A256" s="62" t="s">
        <v>284</v>
      </c>
      <c r="B256" s="20" t="s">
        <v>28</v>
      </c>
      <c r="C256" s="8" t="s">
        <v>775</v>
      </c>
      <c r="D256" s="6" t="s">
        <v>840</v>
      </c>
      <c r="F256" s="42">
        <v>3</v>
      </c>
      <c r="G256" s="39">
        <v>3</v>
      </c>
      <c r="H256" s="2">
        <v>1939</v>
      </c>
      <c r="I256" s="34" t="s">
        <v>1001</v>
      </c>
      <c r="J256" s="34" t="s">
        <v>1001</v>
      </c>
      <c r="K256" s="9" t="s">
        <v>884</v>
      </c>
    </row>
    <row r="257" spans="1:49" ht="15.75" customHeight="1" x14ac:dyDescent="0.15">
      <c r="A257" s="62" t="s">
        <v>285</v>
      </c>
      <c r="B257" s="20" t="s">
        <v>459</v>
      </c>
      <c r="C257" s="8" t="s">
        <v>776</v>
      </c>
      <c r="D257" s="6" t="s">
        <v>840</v>
      </c>
      <c r="E257" s="55"/>
      <c r="F257" s="42">
        <v>1</v>
      </c>
      <c r="G257" s="39">
        <v>1</v>
      </c>
      <c r="H257" s="2">
        <v>1953</v>
      </c>
      <c r="I257" s="34" t="s">
        <v>1001</v>
      </c>
      <c r="J257" s="34" t="s">
        <v>1001</v>
      </c>
      <c r="K257" s="9" t="s">
        <v>885</v>
      </c>
    </row>
    <row r="258" spans="1:49" ht="15.75" customHeight="1" x14ac:dyDescent="0.15">
      <c r="A258" s="62" t="s">
        <v>286</v>
      </c>
      <c r="B258" s="20" t="s">
        <v>460</v>
      </c>
      <c r="C258" s="8" t="s">
        <v>777</v>
      </c>
      <c r="D258" s="6" t="s">
        <v>840</v>
      </c>
      <c r="F258" s="42">
        <v>2</v>
      </c>
      <c r="G258" s="39">
        <v>3</v>
      </c>
      <c r="H258" s="2">
        <v>1968</v>
      </c>
      <c r="I258" s="13" t="s">
        <v>1481</v>
      </c>
      <c r="J258" s="43">
        <f>0.11*0.02*0.02</f>
        <v>4.4000000000000006E-5</v>
      </c>
      <c r="K258" s="9" t="s">
        <v>1097</v>
      </c>
    </row>
    <row r="259" spans="1:49" ht="15.75" customHeight="1" x14ac:dyDescent="0.2">
      <c r="A259" s="62" t="s">
        <v>287</v>
      </c>
      <c r="B259" s="20" t="s">
        <v>461</v>
      </c>
      <c r="C259" s="8" t="s">
        <v>779</v>
      </c>
      <c r="D259" s="6" t="s">
        <v>839</v>
      </c>
      <c r="F259" s="42">
        <v>1</v>
      </c>
      <c r="G259" s="39">
        <v>1</v>
      </c>
      <c r="H259" s="2">
        <v>1967</v>
      </c>
      <c r="I259" s="34" t="s">
        <v>1001</v>
      </c>
      <c r="J259" s="34" t="s">
        <v>1001</v>
      </c>
      <c r="K259" s="9" t="s">
        <v>778</v>
      </c>
    </row>
    <row r="260" spans="1:49" ht="15.75" customHeight="1" x14ac:dyDescent="0.15">
      <c r="A260" s="62" t="s">
        <v>288</v>
      </c>
      <c r="B260" s="20" t="s">
        <v>304</v>
      </c>
      <c r="C260" s="8" t="s">
        <v>780</v>
      </c>
      <c r="D260" s="6" t="s">
        <v>840</v>
      </c>
      <c r="F260" s="64">
        <v>12</v>
      </c>
      <c r="G260" s="65">
        <v>24</v>
      </c>
      <c r="H260" s="2">
        <v>1878</v>
      </c>
      <c r="I260" s="34" t="s">
        <v>1001</v>
      </c>
      <c r="J260" s="34" t="s">
        <v>1001</v>
      </c>
      <c r="K260" s="45" t="s">
        <v>1254</v>
      </c>
    </row>
    <row r="261" spans="1:49" s="17" customFormat="1" ht="15.75" customHeight="1" x14ac:dyDescent="0.2">
      <c r="A261" s="62" t="s">
        <v>289</v>
      </c>
      <c r="B261" s="20" t="s">
        <v>462</v>
      </c>
      <c r="C261" s="8" t="s">
        <v>781</v>
      </c>
      <c r="D261" s="6" t="s">
        <v>839</v>
      </c>
      <c r="E261" s="30" t="s">
        <v>513</v>
      </c>
      <c r="F261" s="42">
        <v>7</v>
      </c>
      <c r="G261" s="39">
        <v>9</v>
      </c>
      <c r="H261" s="29">
        <v>1923</v>
      </c>
      <c r="I261" s="34" t="s">
        <v>1001</v>
      </c>
      <c r="J261" s="34" t="s">
        <v>1001</v>
      </c>
      <c r="K261" s="12" t="s">
        <v>1619</v>
      </c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</row>
    <row r="262" spans="1:49" ht="15.75" customHeight="1" x14ac:dyDescent="0.2">
      <c r="A262" s="62" t="s">
        <v>290</v>
      </c>
      <c r="B262" s="20" t="s">
        <v>463</v>
      </c>
      <c r="C262" s="8" t="s">
        <v>583</v>
      </c>
      <c r="D262" s="6" t="s">
        <v>839</v>
      </c>
      <c r="E262" s="12" t="s">
        <v>579</v>
      </c>
      <c r="F262" s="40" t="s">
        <v>877</v>
      </c>
      <c r="G262" s="39">
        <v>1</v>
      </c>
      <c r="H262" s="2">
        <v>2013</v>
      </c>
      <c r="I262" s="10" t="s">
        <v>1098</v>
      </c>
      <c r="J262" s="43">
        <f>0.01*0.01*0.01</f>
        <v>1.0000000000000002E-6</v>
      </c>
      <c r="K262" s="9" t="s">
        <v>869</v>
      </c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</row>
    <row r="263" spans="1:49" ht="15.75" customHeight="1" x14ac:dyDescent="0.15">
      <c r="A263" s="62" t="s">
        <v>291</v>
      </c>
      <c r="B263" s="20" t="s">
        <v>464</v>
      </c>
      <c r="C263" s="8" t="s">
        <v>782</v>
      </c>
      <c r="D263" s="6" t="s">
        <v>839</v>
      </c>
      <c r="E263" s="9" t="s">
        <v>1580</v>
      </c>
      <c r="F263" s="40" t="s">
        <v>877</v>
      </c>
      <c r="G263" s="39">
        <v>8</v>
      </c>
      <c r="H263" s="2">
        <v>1984</v>
      </c>
      <c r="I263" s="10" t="s">
        <v>1099</v>
      </c>
      <c r="J263" s="43">
        <f>27*25.4*25.4*25.4</f>
        <v>442450.72799999989</v>
      </c>
      <c r="K263" s="12" t="s">
        <v>1483</v>
      </c>
      <c r="L263" s="16"/>
    </row>
    <row r="264" spans="1:49" ht="15.75" customHeight="1" x14ac:dyDescent="0.15">
      <c r="A264" s="62" t="s">
        <v>292</v>
      </c>
      <c r="B264" s="20" t="s">
        <v>465</v>
      </c>
      <c r="C264" s="3" t="s">
        <v>530</v>
      </c>
      <c r="D264" s="6" t="s">
        <v>840</v>
      </c>
      <c r="E264" s="32" t="s">
        <v>570</v>
      </c>
      <c r="F264" s="40" t="s">
        <v>877</v>
      </c>
      <c r="G264" s="39">
        <v>5</v>
      </c>
      <c r="H264" s="2">
        <v>1992</v>
      </c>
      <c r="I264" s="10" t="s">
        <v>987</v>
      </c>
      <c r="J264" s="43">
        <v>8</v>
      </c>
      <c r="K264" s="9" t="s">
        <v>1100</v>
      </c>
    </row>
    <row r="265" spans="1:49" ht="15.75" customHeight="1" x14ac:dyDescent="0.2">
      <c r="A265" s="62" t="s">
        <v>293</v>
      </c>
      <c r="B265" s="20" t="s">
        <v>1327</v>
      </c>
      <c r="C265" s="8" t="s">
        <v>687</v>
      </c>
      <c r="D265" s="6" t="s">
        <v>839</v>
      </c>
      <c r="E265" s="30" t="s">
        <v>688</v>
      </c>
      <c r="F265" s="42">
        <v>3</v>
      </c>
      <c r="G265" s="39">
        <v>3</v>
      </c>
      <c r="H265" s="29">
        <v>1850</v>
      </c>
      <c r="I265" s="13" t="s">
        <v>1023</v>
      </c>
      <c r="J265" s="43">
        <f>8*1000</f>
        <v>8000</v>
      </c>
      <c r="K265" s="45" t="s">
        <v>1484</v>
      </c>
    </row>
    <row r="266" spans="1:49" ht="15.75" customHeight="1" x14ac:dyDescent="0.15">
      <c r="A266" s="62" t="s">
        <v>294</v>
      </c>
      <c r="B266" s="20" t="s">
        <v>1328</v>
      </c>
      <c r="C266" s="8" t="s">
        <v>690</v>
      </c>
      <c r="D266" s="6" t="s">
        <v>839</v>
      </c>
      <c r="E266" s="30" t="s">
        <v>688</v>
      </c>
      <c r="F266" s="42">
        <v>3</v>
      </c>
      <c r="G266" s="39">
        <v>3</v>
      </c>
      <c r="H266" s="6">
        <v>1961</v>
      </c>
      <c r="I266" s="13" t="s">
        <v>1485</v>
      </c>
      <c r="J266" s="43">
        <f>8000/2.205/3.05*10*10*10</f>
        <v>1189546.8569941637</v>
      </c>
      <c r="K266" s="12" t="s">
        <v>1486</v>
      </c>
      <c r="P266"/>
    </row>
    <row r="267" spans="1:49" ht="15.75" customHeight="1" x14ac:dyDescent="0.15">
      <c r="A267" s="62" t="s">
        <v>295</v>
      </c>
      <c r="B267" s="20" t="s">
        <v>466</v>
      </c>
      <c r="C267" s="8" t="s">
        <v>783</v>
      </c>
      <c r="D267" s="6" t="s">
        <v>839</v>
      </c>
      <c r="E267" s="30" t="s">
        <v>495</v>
      </c>
      <c r="F267" s="40" t="s">
        <v>877</v>
      </c>
      <c r="G267" s="39">
        <v>1</v>
      </c>
      <c r="H267" s="2">
        <v>2012</v>
      </c>
      <c r="I267" s="10" t="s">
        <v>1218</v>
      </c>
      <c r="J267" s="43">
        <f>2.5*0.5</f>
        <v>1.25</v>
      </c>
      <c r="K267" s="12" t="s">
        <v>1509</v>
      </c>
    </row>
    <row r="268" spans="1:49" ht="15.75" customHeight="1" x14ac:dyDescent="0.15">
      <c r="A268" s="62" t="s">
        <v>296</v>
      </c>
      <c r="B268" s="20" t="s">
        <v>467</v>
      </c>
      <c r="C268" s="8" t="s">
        <v>784</v>
      </c>
      <c r="D268" s="6" t="s">
        <v>840</v>
      </c>
      <c r="E268" s="30" t="s">
        <v>1180</v>
      </c>
      <c r="F268" s="42">
        <v>5</v>
      </c>
      <c r="G268" s="39">
        <v>6</v>
      </c>
      <c r="H268" s="2">
        <v>1961</v>
      </c>
      <c r="I268" s="13" t="s">
        <v>1487</v>
      </c>
      <c r="J268" s="43">
        <f>15*10*10</f>
        <v>1500</v>
      </c>
      <c r="K268" s="9" t="s">
        <v>1255</v>
      </c>
    </row>
    <row r="269" spans="1:49" ht="15.75" customHeight="1" x14ac:dyDescent="0.2">
      <c r="A269" s="62" t="s">
        <v>297</v>
      </c>
      <c r="B269" s="20" t="s">
        <v>468</v>
      </c>
      <c r="C269" s="8" t="s">
        <v>785</v>
      </c>
      <c r="D269" s="6" t="s">
        <v>840</v>
      </c>
      <c r="E269" s="30" t="s">
        <v>1582</v>
      </c>
      <c r="F269" s="40" t="s">
        <v>877</v>
      </c>
      <c r="G269" s="39">
        <v>4</v>
      </c>
      <c r="H269" s="29">
        <v>1983</v>
      </c>
      <c r="I269" s="13" t="s">
        <v>1160</v>
      </c>
      <c r="J269" s="43">
        <f>5*5*0.5</f>
        <v>12.5</v>
      </c>
      <c r="K269" s="45" t="s">
        <v>1488</v>
      </c>
    </row>
    <row r="270" spans="1:49" ht="15.75" customHeight="1" x14ac:dyDescent="0.15">
      <c r="A270" s="62" t="s">
        <v>298</v>
      </c>
      <c r="B270" s="20" t="s">
        <v>469</v>
      </c>
      <c r="C270" s="8" t="s">
        <v>786</v>
      </c>
      <c r="D270" s="6" t="s">
        <v>840</v>
      </c>
      <c r="F270" s="40" t="s">
        <v>877</v>
      </c>
      <c r="G270" s="39">
        <v>2</v>
      </c>
      <c r="H270" s="2">
        <v>1994</v>
      </c>
      <c r="I270" s="10" t="s">
        <v>1101</v>
      </c>
      <c r="J270" s="43">
        <f>0.5*0.1*0.1</f>
        <v>5.000000000000001E-3</v>
      </c>
      <c r="K270" s="9" t="s">
        <v>887</v>
      </c>
    </row>
    <row r="271" spans="1:49" ht="15.75" customHeight="1" x14ac:dyDescent="0.15">
      <c r="A271" s="62" t="s">
        <v>607</v>
      </c>
      <c r="B271" s="20" t="s">
        <v>470</v>
      </c>
      <c r="C271" s="8" t="s">
        <v>787</v>
      </c>
      <c r="D271" s="6" t="s">
        <v>840</v>
      </c>
      <c r="E271" s="32" t="s">
        <v>663</v>
      </c>
      <c r="F271" s="42">
        <v>1</v>
      </c>
      <c r="G271" s="39">
        <v>1</v>
      </c>
      <c r="H271" s="2">
        <v>1964</v>
      </c>
      <c r="I271" s="13" t="s">
        <v>1489</v>
      </c>
      <c r="J271" s="43">
        <f>4*2*0.2</f>
        <v>1.6</v>
      </c>
      <c r="K271" s="12" t="s">
        <v>1256</v>
      </c>
    </row>
    <row r="272" spans="1:49" ht="15.75" customHeight="1" x14ac:dyDescent="0.15">
      <c r="A272" s="62" t="s">
        <v>299</v>
      </c>
      <c r="B272" s="20" t="s">
        <v>471</v>
      </c>
      <c r="C272" s="8" t="s">
        <v>788</v>
      </c>
      <c r="D272" s="6" t="s">
        <v>840</v>
      </c>
      <c r="F272" s="64">
        <v>73</v>
      </c>
      <c r="G272" s="65">
        <v>146</v>
      </c>
      <c r="H272" s="2">
        <v>1850</v>
      </c>
      <c r="I272" s="34" t="s">
        <v>1001</v>
      </c>
      <c r="J272" s="34" t="s">
        <v>1001</v>
      </c>
      <c r="K272" s="45" t="s">
        <v>1490</v>
      </c>
    </row>
    <row r="273" spans="1:12" ht="15.75" customHeight="1" x14ac:dyDescent="0.15">
      <c r="A273" s="62" t="s">
        <v>300</v>
      </c>
      <c r="B273" s="20" t="s">
        <v>472</v>
      </c>
      <c r="C273" s="8" t="s">
        <v>789</v>
      </c>
      <c r="D273" s="6" t="s">
        <v>840</v>
      </c>
      <c r="E273" s="30" t="s">
        <v>1198</v>
      </c>
      <c r="F273" s="42">
        <v>2</v>
      </c>
      <c r="G273" s="39">
        <v>3</v>
      </c>
      <c r="H273" s="2">
        <v>1961</v>
      </c>
      <c r="I273" s="13" t="s">
        <v>1491</v>
      </c>
      <c r="J273" s="43">
        <f>1*0.5*0.5</f>
        <v>0.25</v>
      </c>
      <c r="K273" s="45" t="s">
        <v>1508</v>
      </c>
    </row>
    <row r="274" spans="1:12" ht="15.75" customHeight="1" x14ac:dyDescent="0.15">
      <c r="A274" s="62" t="s">
        <v>301</v>
      </c>
      <c r="B274" s="20" t="s">
        <v>1371</v>
      </c>
      <c r="C274" s="8" t="s">
        <v>790</v>
      </c>
      <c r="D274" s="6" t="s">
        <v>839</v>
      </c>
      <c r="E274" s="30" t="s">
        <v>495</v>
      </c>
      <c r="F274" s="39">
        <v>20</v>
      </c>
      <c r="G274" s="63" t="s">
        <v>877</v>
      </c>
      <c r="H274" s="34" t="s">
        <v>1001</v>
      </c>
      <c r="I274" s="34" t="s">
        <v>1001</v>
      </c>
      <c r="J274" s="34" t="s">
        <v>1001</v>
      </c>
      <c r="K274" s="75" t="s">
        <v>1493</v>
      </c>
    </row>
    <row r="275" spans="1:12" ht="15.75" customHeight="1" x14ac:dyDescent="0.15">
      <c r="A275" s="62" t="s">
        <v>301</v>
      </c>
      <c r="B275" s="20" t="s">
        <v>473</v>
      </c>
      <c r="C275" s="8" t="s">
        <v>790</v>
      </c>
      <c r="D275" s="6" t="s">
        <v>839</v>
      </c>
      <c r="E275" s="30" t="s">
        <v>495</v>
      </c>
      <c r="F275" s="63" t="s">
        <v>877</v>
      </c>
      <c r="G275" s="65">
        <v>79</v>
      </c>
      <c r="H275" s="6">
        <v>2010</v>
      </c>
      <c r="I275" s="34" t="s">
        <v>1001</v>
      </c>
      <c r="J275" s="34" t="s">
        <v>1001</v>
      </c>
      <c r="K275" s="75" t="s">
        <v>1492</v>
      </c>
      <c r="L275" s="8"/>
    </row>
    <row r="276" spans="1:12" ht="15.75" customHeight="1" x14ac:dyDescent="0.15">
      <c r="A276" s="62" t="s">
        <v>302</v>
      </c>
      <c r="B276" s="20" t="s">
        <v>474</v>
      </c>
      <c r="C276" s="8" t="s">
        <v>791</v>
      </c>
      <c r="D276" s="6" t="s">
        <v>839</v>
      </c>
      <c r="E276" s="30" t="s">
        <v>495</v>
      </c>
      <c r="F276" s="40" t="s">
        <v>877</v>
      </c>
      <c r="G276" s="39">
        <v>1</v>
      </c>
      <c r="H276" s="2">
        <v>2014</v>
      </c>
      <c r="I276" s="10" t="s">
        <v>985</v>
      </c>
      <c r="J276" s="43">
        <f>0.3*0.3*0.3</f>
        <v>2.7E-2</v>
      </c>
      <c r="K276" s="12" t="s">
        <v>1257</v>
      </c>
    </row>
    <row r="277" spans="1:12" ht="15.75" customHeight="1" x14ac:dyDescent="0.15">
      <c r="A277" s="62" t="s">
        <v>808</v>
      </c>
      <c r="B277" s="20" t="s">
        <v>475</v>
      </c>
      <c r="C277" s="8" t="s">
        <v>792</v>
      </c>
      <c r="D277" s="6" t="s">
        <v>839</v>
      </c>
      <c r="E277" s="30" t="s">
        <v>495</v>
      </c>
      <c r="F277" s="40" t="s">
        <v>877</v>
      </c>
      <c r="G277" s="39">
        <v>1</v>
      </c>
      <c r="H277" s="2">
        <v>2014</v>
      </c>
      <c r="I277" s="10" t="s">
        <v>985</v>
      </c>
      <c r="J277" s="43">
        <f>0.3*0.3*0.3</f>
        <v>2.7E-2</v>
      </c>
      <c r="K277" s="12" t="s">
        <v>1258</v>
      </c>
    </row>
    <row r="278" spans="1:12" ht="15.75" customHeight="1" x14ac:dyDescent="0.15">
      <c r="A278" s="62" t="s">
        <v>809</v>
      </c>
      <c r="B278" s="20" t="s">
        <v>1330</v>
      </c>
      <c r="C278" s="8" t="s">
        <v>793</v>
      </c>
      <c r="D278" s="6" t="s">
        <v>840</v>
      </c>
      <c r="F278" s="42">
        <v>4</v>
      </c>
      <c r="G278" s="40" t="s">
        <v>877</v>
      </c>
      <c r="H278" s="2">
        <v>1938</v>
      </c>
      <c r="I278" s="10" t="s">
        <v>1102</v>
      </c>
      <c r="J278" s="43">
        <f>6</f>
        <v>6</v>
      </c>
      <c r="K278" s="9" t="s">
        <v>1103</v>
      </c>
    </row>
    <row r="279" spans="1:12" ht="15.75" customHeight="1" x14ac:dyDescent="0.2">
      <c r="A279" s="62" t="s">
        <v>809</v>
      </c>
      <c r="B279" s="20" t="s">
        <v>1331</v>
      </c>
      <c r="C279" s="8" t="s">
        <v>793</v>
      </c>
      <c r="D279" s="6" t="s">
        <v>840</v>
      </c>
      <c r="F279" s="42">
        <v>3</v>
      </c>
      <c r="G279" s="40" t="s">
        <v>877</v>
      </c>
      <c r="H279" s="2">
        <v>1959</v>
      </c>
      <c r="I279" s="10" t="s">
        <v>987</v>
      </c>
      <c r="J279" s="43">
        <v>8</v>
      </c>
      <c r="K279" s="76" t="s">
        <v>1334</v>
      </c>
    </row>
    <row r="280" spans="1:12" ht="15.75" customHeight="1" x14ac:dyDescent="0.2">
      <c r="A280" s="62" t="s">
        <v>809</v>
      </c>
      <c r="B280" s="20" t="s">
        <v>1519</v>
      </c>
      <c r="C280" s="8"/>
      <c r="D280" s="6"/>
      <c r="F280" s="40" t="s">
        <v>877</v>
      </c>
      <c r="G280" s="40" t="s">
        <v>877</v>
      </c>
      <c r="H280" s="2">
        <v>1979</v>
      </c>
      <c r="I280" s="13" t="s">
        <v>1520</v>
      </c>
      <c r="J280" s="43">
        <f>2*2*0.2</f>
        <v>0.8</v>
      </c>
      <c r="K280" s="76" t="s">
        <v>1521</v>
      </c>
    </row>
    <row r="281" spans="1:12" ht="15.75" customHeight="1" x14ac:dyDescent="0.15">
      <c r="A281" s="62" t="s">
        <v>809</v>
      </c>
      <c r="B281" s="20" t="s">
        <v>1332</v>
      </c>
      <c r="C281" s="8" t="s">
        <v>793</v>
      </c>
      <c r="D281" s="6" t="s">
        <v>840</v>
      </c>
      <c r="F281" s="40" t="s">
        <v>877</v>
      </c>
      <c r="G281" s="39">
        <v>14</v>
      </c>
      <c r="H281" s="2">
        <v>1938</v>
      </c>
      <c r="I281" s="10" t="s">
        <v>1102</v>
      </c>
      <c r="J281" s="43">
        <f>6</f>
        <v>6</v>
      </c>
      <c r="K281" s="12" t="s">
        <v>1494</v>
      </c>
    </row>
    <row r="282" spans="1:12" ht="15.75" customHeight="1" x14ac:dyDescent="0.15">
      <c r="A282" s="62" t="s">
        <v>811</v>
      </c>
      <c r="B282" s="20" t="s">
        <v>1329</v>
      </c>
      <c r="C282" s="8" t="s">
        <v>794</v>
      </c>
      <c r="D282" s="6" t="s">
        <v>839</v>
      </c>
      <c r="E282" s="32" t="s">
        <v>632</v>
      </c>
      <c r="F282" s="40" t="s">
        <v>877</v>
      </c>
      <c r="G282" s="39">
        <v>2</v>
      </c>
      <c r="H282" s="2">
        <v>1995</v>
      </c>
      <c r="I282" s="10" t="s">
        <v>985</v>
      </c>
      <c r="J282" s="43">
        <f>0.3*0.3*0.3</f>
        <v>2.7E-2</v>
      </c>
      <c r="K282" s="9" t="s">
        <v>856</v>
      </c>
    </row>
    <row r="283" spans="1:12" ht="15.75" customHeight="1" x14ac:dyDescent="0.15">
      <c r="A283" s="62" t="s">
        <v>814</v>
      </c>
      <c r="B283" s="20" t="s">
        <v>476</v>
      </c>
      <c r="C283" s="8" t="s">
        <v>789</v>
      </c>
      <c r="D283" s="6" t="s">
        <v>840</v>
      </c>
      <c r="E283" s="30" t="s">
        <v>1199</v>
      </c>
      <c r="F283" s="42">
        <v>2</v>
      </c>
      <c r="G283" s="39">
        <v>2</v>
      </c>
      <c r="H283" s="2">
        <v>1968</v>
      </c>
      <c r="I283" s="13" t="s">
        <v>1219</v>
      </c>
      <c r="J283" s="43">
        <f>2*0.8*0.8</f>
        <v>1.2800000000000002</v>
      </c>
      <c r="K283" s="12" t="s">
        <v>1495</v>
      </c>
    </row>
    <row r="284" spans="1:12" ht="15.75" customHeight="1" x14ac:dyDescent="0.15">
      <c r="A284" s="62" t="s">
        <v>816</v>
      </c>
      <c r="B284" s="20" t="s">
        <v>477</v>
      </c>
      <c r="C284" s="8" t="s">
        <v>795</v>
      </c>
      <c r="D284" s="6" t="s">
        <v>839</v>
      </c>
      <c r="F284" s="40" t="s">
        <v>877</v>
      </c>
      <c r="G284" s="39">
        <v>1</v>
      </c>
      <c r="H284" s="2">
        <v>1992</v>
      </c>
      <c r="I284" s="13" t="s">
        <v>1496</v>
      </c>
      <c r="J284" s="43">
        <f>0.5*0.25*0.25</f>
        <v>3.125E-2</v>
      </c>
      <c r="K284" s="9" t="s">
        <v>1507</v>
      </c>
    </row>
    <row r="285" spans="1:12" ht="15.75" customHeight="1" x14ac:dyDescent="0.15">
      <c r="A285" s="62" t="s">
        <v>819</v>
      </c>
      <c r="B285" s="20" t="s">
        <v>478</v>
      </c>
      <c r="C285" s="8" t="s">
        <v>796</v>
      </c>
      <c r="D285" s="6" t="s">
        <v>840</v>
      </c>
      <c r="F285" s="40" t="s">
        <v>877</v>
      </c>
      <c r="G285" s="39">
        <v>2</v>
      </c>
      <c r="H285" s="2">
        <v>2002</v>
      </c>
      <c r="I285" s="13" t="s">
        <v>1497</v>
      </c>
      <c r="J285" s="43">
        <f>0.2*0.02*0.02</f>
        <v>8.0000000000000007E-5</v>
      </c>
      <c r="K285" s="12" t="s">
        <v>1498</v>
      </c>
    </row>
    <row r="286" spans="1:12" ht="15.75" customHeight="1" x14ac:dyDescent="0.15">
      <c r="A286" s="62" t="s">
        <v>822</v>
      </c>
      <c r="B286" s="20" t="s">
        <v>479</v>
      </c>
      <c r="C286" s="8" t="s">
        <v>797</v>
      </c>
      <c r="D286" s="6" t="s">
        <v>840</v>
      </c>
      <c r="F286" s="40" t="s">
        <v>877</v>
      </c>
      <c r="G286" s="39">
        <v>1</v>
      </c>
      <c r="H286" s="2">
        <v>2012</v>
      </c>
      <c r="I286" s="13" t="s">
        <v>1500</v>
      </c>
      <c r="J286" s="51">
        <f>1.5*1*1</f>
        <v>1.5</v>
      </c>
      <c r="K286" s="12" t="s">
        <v>1499</v>
      </c>
    </row>
    <row r="287" spans="1:12" ht="15.75" customHeight="1" x14ac:dyDescent="0.15">
      <c r="A287" s="62" t="s">
        <v>824</v>
      </c>
      <c r="B287" s="20" t="s">
        <v>480</v>
      </c>
      <c r="C287" s="8" t="s">
        <v>798</v>
      </c>
      <c r="D287" s="6" t="s">
        <v>840</v>
      </c>
      <c r="F287" s="42">
        <v>1</v>
      </c>
      <c r="G287" s="39">
        <v>8</v>
      </c>
      <c r="H287" s="2">
        <v>1966</v>
      </c>
      <c r="I287" s="10" t="s">
        <v>1104</v>
      </c>
      <c r="J287" s="43">
        <f>1.5*0.5*0.05</f>
        <v>3.7500000000000006E-2</v>
      </c>
      <c r="K287" s="9" t="s">
        <v>1105</v>
      </c>
    </row>
    <row r="288" spans="1:12" ht="15.75" customHeight="1" x14ac:dyDescent="0.15">
      <c r="A288" s="62" t="s">
        <v>830</v>
      </c>
      <c r="B288" s="20" t="s">
        <v>481</v>
      </c>
      <c r="C288" s="8" t="s">
        <v>628</v>
      </c>
      <c r="D288" s="6" t="s">
        <v>840</v>
      </c>
      <c r="E288" s="32" t="s">
        <v>511</v>
      </c>
      <c r="F288" s="64">
        <v>27</v>
      </c>
      <c r="G288" s="65">
        <v>53</v>
      </c>
      <c r="H288" s="2">
        <v>1920</v>
      </c>
      <c r="I288" s="34" t="s">
        <v>1001</v>
      </c>
      <c r="J288" s="34" t="s">
        <v>1001</v>
      </c>
      <c r="K288" s="9" t="s">
        <v>1106</v>
      </c>
    </row>
    <row r="289" spans="1:17" ht="15.75" customHeight="1" x14ac:dyDescent="0.15">
      <c r="A289" s="62" t="s">
        <v>833</v>
      </c>
      <c r="B289" s="20" t="s">
        <v>934</v>
      </c>
      <c r="C289" s="8" t="s">
        <v>933</v>
      </c>
      <c r="D289" s="6" t="s">
        <v>839</v>
      </c>
      <c r="E289" s="32"/>
      <c r="F289" s="40" t="s">
        <v>877</v>
      </c>
      <c r="G289" s="39">
        <v>1</v>
      </c>
      <c r="H289" s="2">
        <v>2016</v>
      </c>
      <c r="I289" s="46" t="s">
        <v>1107</v>
      </c>
      <c r="J289" s="43">
        <f>0.1*0.03*0.03</f>
        <v>8.9999999999999992E-5</v>
      </c>
      <c r="K289" s="12" t="s">
        <v>1259</v>
      </c>
    </row>
    <row r="290" spans="1:17" ht="15.75" customHeight="1" x14ac:dyDescent="0.15">
      <c r="A290" s="62" t="s">
        <v>834</v>
      </c>
      <c r="B290" s="20" t="s">
        <v>482</v>
      </c>
      <c r="C290" s="8" t="s">
        <v>799</v>
      </c>
      <c r="D290" s="6" t="s">
        <v>840</v>
      </c>
      <c r="F290" s="40" t="s">
        <v>877</v>
      </c>
      <c r="G290" s="39">
        <v>1</v>
      </c>
      <c r="H290" s="2">
        <v>2002</v>
      </c>
      <c r="I290" s="10" t="s">
        <v>1108</v>
      </c>
      <c r="J290" s="43">
        <f>2*0.05*0.05</f>
        <v>5.000000000000001E-3</v>
      </c>
      <c r="K290" s="9" t="s">
        <v>1109</v>
      </c>
    </row>
    <row r="291" spans="1:17" ht="15.75" customHeight="1" x14ac:dyDescent="0.15">
      <c r="A291" s="62" t="s">
        <v>836</v>
      </c>
      <c r="B291" s="20" t="s">
        <v>483</v>
      </c>
      <c r="C291" s="8" t="s">
        <v>800</v>
      </c>
      <c r="D291" s="6" t="s">
        <v>840</v>
      </c>
      <c r="F291" s="42">
        <v>1</v>
      </c>
      <c r="G291" s="39">
        <v>3</v>
      </c>
      <c r="H291" s="2">
        <v>1970</v>
      </c>
      <c r="I291" s="10" t="s">
        <v>1110</v>
      </c>
      <c r="J291" s="43">
        <f>0.015*0.015*0.002</f>
        <v>4.4999999999999998E-7</v>
      </c>
      <c r="K291" s="9" t="s">
        <v>888</v>
      </c>
    </row>
    <row r="292" spans="1:17" ht="15.75" customHeight="1" x14ac:dyDescent="0.15">
      <c r="A292" s="62" t="s">
        <v>837</v>
      </c>
      <c r="B292" s="20" t="s">
        <v>1335</v>
      </c>
      <c r="C292" s="8" t="s">
        <v>801</v>
      </c>
      <c r="D292" s="6" t="s">
        <v>840</v>
      </c>
      <c r="E292" s="12" t="s">
        <v>1608</v>
      </c>
      <c r="F292" s="42">
        <v>8</v>
      </c>
      <c r="G292" s="39">
        <v>7</v>
      </c>
      <c r="H292" s="2">
        <v>1838</v>
      </c>
      <c r="I292" s="13" t="s">
        <v>1504</v>
      </c>
      <c r="J292" s="43">
        <f>2*25.4*1/3*25.4*1/3*25.4</f>
        <v>3641.5697777777773</v>
      </c>
      <c r="K292" s="45" t="s">
        <v>1501</v>
      </c>
      <c r="Q292"/>
    </row>
    <row r="293" spans="1:17" ht="15.75" customHeight="1" x14ac:dyDescent="0.15">
      <c r="A293" s="62" t="s">
        <v>852</v>
      </c>
      <c r="B293" s="20" t="s">
        <v>484</v>
      </c>
      <c r="C293" s="8" t="s">
        <v>802</v>
      </c>
      <c r="D293" s="6" t="s">
        <v>839</v>
      </c>
      <c r="F293" s="40" t="s">
        <v>877</v>
      </c>
      <c r="G293" s="39">
        <v>1</v>
      </c>
      <c r="H293" s="2">
        <v>1990</v>
      </c>
      <c r="I293" s="13" t="s">
        <v>1503</v>
      </c>
      <c r="J293" s="43">
        <f>0.1*0.1*0.01</f>
        <v>1.0000000000000002E-4</v>
      </c>
      <c r="K293" s="12" t="s">
        <v>1260</v>
      </c>
    </row>
    <row r="294" spans="1:17" ht="15.75" customHeight="1" x14ac:dyDescent="0.15">
      <c r="A294" s="62" t="s">
        <v>853</v>
      </c>
      <c r="B294" s="20" t="s">
        <v>4</v>
      </c>
      <c r="C294" s="8" t="s">
        <v>803</v>
      </c>
      <c r="D294" s="6" t="s">
        <v>839</v>
      </c>
      <c r="F294" s="40" t="s">
        <v>877</v>
      </c>
      <c r="G294" s="39">
        <v>7</v>
      </c>
      <c r="H294" s="2">
        <v>1990</v>
      </c>
      <c r="I294" s="10" t="s">
        <v>962</v>
      </c>
      <c r="J294" s="43">
        <v>27</v>
      </c>
      <c r="K294" s="9" t="s">
        <v>1111</v>
      </c>
    </row>
    <row r="295" spans="1:17" ht="15.75" customHeight="1" x14ac:dyDescent="0.15">
      <c r="A295" s="62" t="s">
        <v>854</v>
      </c>
      <c r="B295" s="20" t="s">
        <v>485</v>
      </c>
      <c r="C295" s="8" t="s">
        <v>804</v>
      </c>
      <c r="D295" s="6" t="s">
        <v>840</v>
      </c>
      <c r="F295" s="42">
        <v>1</v>
      </c>
      <c r="G295" s="39">
        <v>2</v>
      </c>
      <c r="H295" s="2">
        <v>1962</v>
      </c>
      <c r="I295" s="34" t="s">
        <v>1001</v>
      </c>
      <c r="J295" s="34" t="s">
        <v>1001</v>
      </c>
      <c r="K295" s="9" t="s">
        <v>880</v>
      </c>
    </row>
    <row r="296" spans="1:17" ht="15.75" customHeight="1" x14ac:dyDescent="0.15">
      <c r="A296" s="62" t="s">
        <v>855</v>
      </c>
      <c r="B296" s="20" t="s">
        <v>17</v>
      </c>
      <c r="C296" s="8" t="s">
        <v>805</v>
      </c>
      <c r="D296" s="6" t="s">
        <v>839</v>
      </c>
      <c r="E296" s="9" t="s">
        <v>1610</v>
      </c>
      <c r="F296" s="40" t="s">
        <v>877</v>
      </c>
      <c r="G296" s="39">
        <v>7</v>
      </c>
      <c r="H296" s="2">
        <v>1998</v>
      </c>
      <c r="I296" s="10" t="s">
        <v>1112</v>
      </c>
      <c r="J296" s="43">
        <f>30*30*50</f>
        <v>45000</v>
      </c>
      <c r="K296" s="9" t="s">
        <v>894</v>
      </c>
    </row>
    <row r="297" spans="1:17" ht="15.75" customHeight="1" x14ac:dyDescent="0.15">
      <c r="A297" s="62" t="s">
        <v>858</v>
      </c>
      <c r="B297" s="20" t="s">
        <v>486</v>
      </c>
      <c r="C297" s="8" t="s">
        <v>806</v>
      </c>
      <c r="D297" s="6" t="s">
        <v>840</v>
      </c>
      <c r="F297" s="42">
        <v>3</v>
      </c>
      <c r="G297" s="39">
        <v>12</v>
      </c>
      <c r="H297" s="2">
        <v>1845</v>
      </c>
      <c r="I297" s="34" t="s">
        <v>1001</v>
      </c>
      <c r="J297" s="34" t="s">
        <v>1001</v>
      </c>
      <c r="K297" s="12" t="s">
        <v>1261</v>
      </c>
    </row>
    <row r="298" spans="1:17" ht="15.75" customHeight="1" x14ac:dyDescent="0.15">
      <c r="A298" s="62" t="s">
        <v>905</v>
      </c>
      <c r="B298" s="20" t="s">
        <v>25</v>
      </c>
      <c r="C298" s="8" t="s">
        <v>807</v>
      </c>
      <c r="D298" s="6" t="s">
        <v>840</v>
      </c>
      <c r="E298" s="12" t="s">
        <v>1609</v>
      </c>
      <c r="F298" s="40" t="s">
        <v>877</v>
      </c>
      <c r="G298" s="39">
        <v>5</v>
      </c>
      <c r="H298" s="2">
        <v>1994</v>
      </c>
      <c r="I298" s="10" t="s">
        <v>1113</v>
      </c>
      <c r="J298" s="43">
        <f>0.1*0.2</f>
        <v>2.0000000000000004E-2</v>
      </c>
      <c r="K298" s="9" t="s">
        <v>1114</v>
      </c>
    </row>
    <row r="299" spans="1:17" ht="15.75" customHeight="1" x14ac:dyDescent="0.15">
      <c r="A299" s="62" t="s">
        <v>919</v>
      </c>
      <c r="B299" s="20" t="s">
        <v>890</v>
      </c>
      <c r="C299" s="8" t="s">
        <v>891</v>
      </c>
      <c r="D299" s="6" t="s">
        <v>892</v>
      </c>
      <c r="F299" s="40" t="s">
        <v>877</v>
      </c>
      <c r="G299" s="39">
        <v>1</v>
      </c>
      <c r="H299" s="2">
        <v>2014</v>
      </c>
      <c r="I299" s="13" t="s">
        <v>989</v>
      </c>
      <c r="J299" s="43">
        <f>0.2*0.2*0.2</f>
        <v>8.0000000000000019E-3</v>
      </c>
      <c r="K299" s="9" t="s">
        <v>1360</v>
      </c>
    </row>
    <row r="300" spans="1:17" ht="15.75" customHeight="1" x14ac:dyDescent="0.15">
      <c r="A300" s="62" t="s">
        <v>1367</v>
      </c>
      <c r="B300" s="20" t="s">
        <v>1517</v>
      </c>
      <c r="C300" s="8" t="s">
        <v>1370</v>
      </c>
      <c r="D300" s="6" t="s">
        <v>892</v>
      </c>
      <c r="E300" s="12" t="s">
        <v>1615</v>
      </c>
      <c r="F300" s="40" t="s">
        <v>877</v>
      </c>
      <c r="G300" s="39">
        <v>1</v>
      </c>
      <c r="H300" s="2">
        <v>2014</v>
      </c>
      <c r="I300" s="34" t="s">
        <v>1001</v>
      </c>
      <c r="J300" s="34" t="s">
        <v>1001</v>
      </c>
      <c r="K300" s="12" t="s">
        <v>1516</v>
      </c>
    </row>
    <row r="301" spans="1:17" ht="15.75" customHeight="1" x14ac:dyDescent="0.15">
      <c r="A301" s="62" t="s">
        <v>922</v>
      </c>
      <c r="B301" s="20" t="s">
        <v>1346</v>
      </c>
      <c r="C301" s="8" t="s">
        <v>1347</v>
      </c>
      <c r="D301" s="6" t="s">
        <v>1351</v>
      </c>
      <c r="F301" s="40" t="s">
        <v>877</v>
      </c>
      <c r="G301" s="39">
        <v>1</v>
      </c>
      <c r="H301" s="2">
        <v>2016</v>
      </c>
      <c r="I301" s="13" t="s">
        <v>1348</v>
      </c>
      <c r="J301" s="43">
        <f>0.0003*0.0003*0.0003</f>
        <v>2.6999999999999994E-11</v>
      </c>
      <c r="K301" s="12" t="s">
        <v>1349</v>
      </c>
    </row>
    <row r="302" spans="1:17" ht="15.75" customHeight="1" x14ac:dyDescent="0.15">
      <c r="A302" s="62" t="s">
        <v>928</v>
      </c>
      <c r="B302" s="20" t="s">
        <v>1350</v>
      </c>
      <c r="C302" s="8" t="s">
        <v>1354</v>
      </c>
      <c r="D302" s="6" t="s">
        <v>1352</v>
      </c>
      <c r="F302" s="40" t="s">
        <v>877</v>
      </c>
      <c r="G302" s="39">
        <v>1</v>
      </c>
      <c r="H302" s="2">
        <v>2016</v>
      </c>
      <c r="I302" s="34" t="s">
        <v>1001</v>
      </c>
      <c r="J302" s="34" t="s">
        <v>1001</v>
      </c>
      <c r="K302" s="12" t="s">
        <v>1353</v>
      </c>
    </row>
    <row r="303" spans="1:17" ht="15.75" customHeight="1" x14ac:dyDescent="0.2">
      <c r="A303" s="62" t="s">
        <v>929</v>
      </c>
      <c r="B303" s="22" t="s">
        <v>1341</v>
      </c>
      <c r="C303" s="8" t="s">
        <v>1342</v>
      </c>
      <c r="D303" s="6" t="s">
        <v>840</v>
      </c>
      <c r="E303" s="32" t="s">
        <v>526</v>
      </c>
      <c r="F303" s="40" t="s">
        <v>877</v>
      </c>
      <c r="G303" s="39">
        <v>1</v>
      </c>
      <c r="H303" s="2">
        <v>1998</v>
      </c>
      <c r="I303" s="34" t="s">
        <v>1001</v>
      </c>
      <c r="J303" s="34" t="s">
        <v>1001</v>
      </c>
      <c r="K303" s="9" t="s">
        <v>1361</v>
      </c>
    </row>
    <row r="304" spans="1:17" ht="15.75" customHeight="1" x14ac:dyDescent="0.15">
      <c r="A304" s="62" t="s">
        <v>937</v>
      </c>
      <c r="B304" s="24" t="s">
        <v>827</v>
      </c>
      <c r="C304" s="8" t="s">
        <v>826</v>
      </c>
      <c r="D304" s="6" t="s">
        <v>840</v>
      </c>
      <c r="F304" s="42">
        <v>1</v>
      </c>
      <c r="G304" s="39">
        <v>1</v>
      </c>
      <c r="H304" s="6">
        <v>1976</v>
      </c>
      <c r="I304" s="13" t="s">
        <v>989</v>
      </c>
      <c r="J304" s="43">
        <f>0.2*0.2*0.2</f>
        <v>8.0000000000000019E-3</v>
      </c>
      <c r="K304" s="9" t="s">
        <v>1362</v>
      </c>
    </row>
    <row r="305" spans="1:11" ht="15.75" customHeight="1" x14ac:dyDescent="0.15">
      <c r="A305" s="62"/>
      <c r="B305" s="24" t="s">
        <v>828</v>
      </c>
      <c r="C305" s="8" t="s">
        <v>926</v>
      </c>
      <c r="D305" s="6" t="s">
        <v>840</v>
      </c>
      <c r="F305" s="42">
        <v>0</v>
      </c>
      <c r="G305" s="39">
        <v>0</v>
      </c>
      <c r="H305" s="6">
        <v>1976</v>
      </c>
      <c r="I305" s="10"/>
      <c r="J305" s="43"/>
      <c r="K305" s="9" t="s">
        <v>832</v>
      </c>
    </row>
    <row r="306" spans="1:11" ht="15.75" customHeight="1" x14ac:dyDescent="0.15">
      <c r="A306" s="62"/>
      <c r="B306" s="24" t="s">
        <v>829</v>
      </c>
      <c r="C306" s="8" t="s">
        <v>926</v>
      </c>
      <c r="D306" s="6" t="s">
        <v>840</v>
      </c>
      <c r="F306" s="42">
        <v>0</v>
      </c>
      <c r="G306" s="39">
        <v>0</v>
      </c>
      <c r="H306" s="6">
        <v>1976</v>
      </c>
      <c r="J306" s="9"/>
      <c r="K306" s="9" t="s">
        <v>832</v>
      </c>
    </row>
    <row r="307" spans="1:11" ht="15.75" customHeight="1" x14ac:dyDescent="0.15">
      <c r="A307" s="62" t="s">
        <v>1343</v>
      </c>
      <c r="B307" s="24" t="s">
        <v>904</v>
      </c>
      <c r="C307" s="8" t="s">
        <v>927</v>
      </c>
      <c r="D307" s="6" t="s">
        <v>892</v>
      </c>
      <c r="F307" s="40" t="s">
        <v>877</v>
      </c>
      <c r="G307" s="39">
        <v>1</v>
      </c>
      <c r="H307" s="6">
        <v>1992</v>
      </c>
      <c r="I307" s="13" t="s">
        <v>1378</v>
      </c>
      <c r="J307" s="43">
        <f>0.1*0.03*0.01</f>
        <v>3.0000000000000001E-5</v>
      </c>
      <c r="K307" s="9" t="s">
        <v>1363</v>
      </c>
    </row>
    <row r="308" spans="1:11" ht="15.75" customHeight="1" x14ac:dyDescent="0.15">
      <c r="A308" s="62" t="s">
        <v>1344</v>
      </c>
      <c r="B308" s="24" t="s">
        <v>831</v>
      </c>
      <c r="C308" s="8" t="s">
        <v>672</v>
      </c>
      <c r="D308" s="6" t="s">
        <v>839</v>
      </c>
      <c r="F308" s="40" t="s">
        <v>877</v>
      </c>
      <c r="G308" s="39">
        <v>1</v>
      </c>
      <c r="H308" s="6">
        <v>1990</v>
      </c>
      <c r="I308" s="34" t="s">
        <v>1001</v>
      </c>
      <c r="J308" s="34" t="s">
        <v>1001</v>
      </c>
      <c r="K308" s="9" t="s">
        <v>1365</v>
      </c>
    </row>
    <row r="309" spans="1:11" ht="15.75" customHeight="1" x14ac:dyDescent="0.15">
      <c r="A309" s="62"/>
      <c r="B309" s="24" t="s">
        <v>1368</v>
      </c>
      <c r="C309" s="8" t="s">
        <v>672</v>
      </c>
      <c r="D309" s="6" t="s">
        <v>839</v>
      </c>
      <c r="F309" s="42">
        <v>0</v>
      </c>
      <c r="G309" s="39">
        <v>0</v>
      </c>
      <c r="H309" s="6">
        <v>1995</v>
      </c>
      <c r="J309" s="9"/>
      <c r="K309" s="9" t="s">
        <v>1369</v>
      </c>
    </row>
    <row r="310" spans="1:11" ht="15.75" customHeight="1" x14ac:dyDescent="0.15">
      <c r="A310" s="62" t="s">
        <v>1345</v>
      </c>
      <c r="B310" s="24" t="s">
        <v>893</v>
      </c>
      <c r="C310" s="8" t="s">
        <v>835</v>
      </c>
      <c r="D310" s="6" t="s">
        <v>839</v>
      </c>
      <c r="F310" s="40" t="s">
        <v>877</v>
      </c>
      <c r="G310" s="39">
        <v>1</v>
      </c>
      <c r="H310" s="6">
        <v>1995</v>
      </c>
      <c r="I310" s="13" t="s">
        <v>987</v>
      </c>
      <c r="J310" s="43">
        <f>2*2*2</f>
        <v>8</v>
      </c>
      <c r="K310" s="3" t="s">
        <v>1364</v>
      </c>
    </row>
    <row r="311" spans="1:11" ht="15.75" customHeight="1" x14ac:dyDescent="0.2">
      <c r="A311" s="62" t="s">
        <v>1598</v>
      </c>
      <c r="B311" s="24" t="s">
        <v>1599</v>
      </c>
      <c r="C311" s="8" t="s">
        <v>1600</v>
      </c>
      <c r="D311" s="6" t="s">
        <v>840</v>
      </c>
      <c r="E311" s="12" t="s">
        <v>544</v>
      </c>
      <c r="F311" s="40" t="s">
        <v>877</v>
      </c>
      <c r="G311" s="69">
        <v>0</v>
      </c>
      <c r="H311" s="6">
        <v>2008</v>
      </c>
      <c r="I311" s="13" t="s">
        <v>1407</v>
      </c>
      <c r="J311" s="43">
        <f>6*6*6</f>
        <v>216</v>
      </c>
      <c r="K311" s="28" t="s">
        <v>1601</v>
      </c>
    </row>
    <row r="312" spans="1:11" ht="15.75" customHeight="1" x14ac:dyDescent="0.15">
      <c r="A312" s="62" t="s">
        <v>1355</v>
      </c>
      <c r="B312" s="3"/>
      <c r="F312" s="2">
        <f>SUM(F5:F310)</f>
        <v>3214</v>
      </c>
      <c r="G312" s="2">
        <f>SUM(G5:G310)</f>
        <v>7024</v>
      </c>
    </row>
    <row r="313" spans="1:11" ht="15.75" customHeight="1" x14ac:dyDescent="0.15">
      <c r="B313" s="24" t="s">
        <v>1208</v>
      </c>
    </row>
    <row r="314" spans="1:11" ht="15.75" customHeight="1" x14ac:dyDescent="0.15">
      <c r="B314" s="41" t="s">
        <v>1377</v>
      </c>
    </row>
    <row r="315" spans="1:11" ht="15.75" customHeight="1" x14ac:dyDescent="0.15">
      <c r="B315" s="38" t="s">
        <v>1629</v>
      </c>
    </row>
    <row r="316" spans="1:11" ht="15.75" customHeight="1" x14ac:dyDescent="0.15">
      <c r="B316" s="14" t="s">
        <v>1515</v>
      </c>
    </row>
    <row r="317" spans="1:11" ht="15.75" customHeight="1" x14ac:dyDescent="0.15">
      <c r="F317" s="3"/>
      <c r="G317" s="3"/>
    </row>
    <row r="318" spans="1:11" ht="15.75" customHeight="1" x14ac:dyDescent="0.15"/>
    <row r="319" spans="1:11" ht="15.75" customHeight="1" x14ac:dyDescent="0.15"/>
    <row r="320" spans="1:11" ht="15.75" customHeight="1" x14ac:dyDescent="0.15"/>
    <row r="321" spans="2:5" ht="15.75" customHeight="1" x14ac:dyDescent="0.15"/>
    <row r="322" spans="2:5" ht="15.75" customHeight="1" x14ac:dyDescent="0.15"/>
    <row r="323" spans="2:5" ht="15.75" customHeight="1" x14ac:dyDescent="0.15">
      <c r="C323" s="1"/>
      <c r="D323" s="4"/>
      <c r="E323" s="55"/>
    </row>
    <row r="324" spans="2:5" ht="15.75" customHeight="1" x14ac:dyDescent="0.15">
      <c r="C324" s="1"/>
      <c r="D324" s="4"/>
      <c r="E324" s="55"/>
    </row>
    <row r="325" spans="2:5" x14ac:dyDescent="0.15">
      <c r="C325" s="7"/>
      <c r="D325" s="4"/>
      <c r="E325" s="56"/>
    </row>
    <row r="326" spans="2:5" x14ac:dyDescent="0.15">
      <c r="C326" s="1"/>
      <c r="D326" s="4"/>
      <c r="E326" s="55"/>
    </row>
    <row r="327" spans="2:5" x14ac:dyDescent="0.15">
      <c r="C327" s="1"/>
      <c r="D327" s="4"/>
      <c r="E327" s="55"/>
    </row>
    <row r="329" spans="2:5" x14ac:dyDescent="0.15">
      <c r="C329" s="1"/>
      <c r="D329" s="4"/>
      <c r="E329" s="55"/>
    </row>
    <row r="333" spans="2:5" x14ac:dyDescent="0.15">
      <c r="B333" s="3"/>
      <c r="D333" s="3"/>
    </row>
    <row r="334" spans="2:5" x14ac:dyDescent="0.15">
      <c r="B334" s="3"/>
      <c r="D334" s="3"/>
    </row>
    <row r="335" spans="2:5" x14ac:dyDescent="0.15">
      <c r="B335" s="3"/>
      <c r="D335" s="3"/>
    </row>
    <row r="336" spans="2:5" x14ac:dyDescent="0.15">
      <c r="B336" s="3"/>
      <c r="D336" s="3"/>
    </row>
    <row r="337" spans="2:4" x14ac:dyDescent="0.15">
      <c r="B337" s="3"/>
      <c r="D337" s="3"/>
    </row>
    <row r="338" spans="2:4" x14ac:dyDescent="0.15">
      <c r="B338" s="3"/>
      <c r="D338" s="3"/>
    </row>
    <row r="339" spans="2:4" x14ac:dyDescent="0.15">
      <c r="B339" s="3"/>
      <c r="D339" s="3"/>
    </row>
    <row r="340" spans="2:4" x14ac:dyDescent="0.15">
      <c r="B340" s="3"/>
      <c r="D340" s="3"/>
    </row>
    <row r="341" spans="2:4" x14ac:dyDescent="0.15">
      <c r="B341" s="3"/>
      <c r="D341" s="3"/>
    </row>
    <row r="342" spans="2:4" x14ac:dyDescent="0.15">
      <c r="B342" s="3"/>
      <c r="D342" s="3"/>
    </row>
    <row r="343" spans="2:4" x14ac:dyDescent="0.15">
      <c r="B343" s="3"/>
      <c r="D343" s="3"/>
    </row>
    <row r="344" spans="2:4" x14ac:dyDescent="0.15">
      <c r="B344" s="3"/>
      <c r="D344" s="3"/>
    </row>
    <row r="345" spans="2:4" x14ac:dyDescent="0.15">
      <c r="B345" s="3"/>
      <c r="D345" s="3"/>
    </row>
    <row r="346" spans="2:4" x14ac:dyDescent="0.15">
      <c r="B346" s="3"/>
      <c r="D346" s="3"/>
    </row>
    <row r="347" spans="2:4" x14ac:dyDescent="0.15">
      <c r="B347" s="3"/>
      <c r="D347" s="3"/>
    </row>
    <row r="348" spans="2:4" x14ac:dyDescent="0.15">
      <c r="B348" s="3"/>
      <c r="D348" s="3"/>
    </row>
    <row r="349" spans="2:4" x14ac:dyDescent="0.15">
      <c r="B349" s="3"/>
      <c r="D349" s="3"/>
    </row>
  </sheetData>
  <phoneticPr fontId="0" type="noConversion"/>
  <pageMargins left="0.75" right="0.75" top="1" bottom="1" header="0.5" footer="0.5"/>
  <pageSetup orientation="portrait" r:id="rId1"/>
  <headerFooter alignWithMargins="0">
    <oddHeader>&amp;L&amp;D&amp;C&amp;A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309"/>
  <sheetViews>
    <sheetView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A3" sqref="A3"/>
    </sheetView>
  </sheetViews>
  <sheetFormatPr baseColWidth="10" defaultColWidth="8.83203125" defaultRowHeight="13" x14ac:dyDescent="0.15"/>
  <cols>
    <col min="1" max="1" width="8.83203125" style="3"/>
    <col min="2" max="2" width="46.5" style="3" customWidth="1"/>
    <col min="3" max="3" width="19.1640625" style="8" customWidth="1"/>
    <col min="4" max="4" width="14.5" style="8" customWidth="1"/>
    <col min="5" max="5" width="13.6640625" style="8" customWidth="1"/>
    <col min="6" max="6" width="13" style="8" customWidth="1"/>
    <col min="7" max="7" width="13.5" style="8" customWidth="1"/>
    <col min="8" max="8" width="8.83203125" style="8"/>
    <col min="9" max="23" width="8.83203125" style="3"/>
  </cols>
  <sheetData>
    <row r="1" spans="1:23" ht="16" x14ac:dyDescent="0.15">
      <c r="A1" s="77" t="s">
        <v>1630</v>
      </c>
    </row>
    <row r="2" spans="1:23" ht="16" x14ac:dyDescent="0.15">
      <c r="A2" s="77" t="s">
        <v>1631</v>
      </c>
    </row>
    <row r="3" spans="1:23" ht="18" x14ac:dyDescent="0.15">
      <c r="A3" s="59" t="s">
        <v>1628</v>
      </c>
      <c r="B3" s="59"/>
      <c r="C3" s="6"/>
      <c r="D3" s="6"/>
      <c r="E3" s="6"/>
      <c r="F3" s="6"/>
      <c r="G3" s="6"/>
      <c r="H3" s="5"/>
      <c r="I3" s="57"/>
    </row>
    <row r="4" spans="1:23" s="26" customFormat="1" x14ac:dyDescent="0.15">
      <c r="A4" s="14" t="s">
        <v>907</v>
      </c>
      <c r="B4" s="27" t="s">
        <v>895</v>
      </c>
      <c r="C4" s="27" t="s">
        <v>1210</v>
      </c>
      <c r="D4" s="27" t="s">
        <v>1131</v>
      </c>
      <c r="E4" s="27" t="s">
        <v>1132</v>
      </c>
      <c r="F4" s="27" t="s">
        <v>1133</v>
      </c>
      <c r="G4" s="27" t="s">
        <v>1134</v>
      </c>
      <c r="H4" s="27" t="s">
        <v>1135</v>
      </c>
      <c r="I4" s="35" t="s">
        <v>1136</v>
      </c>
      <c r="J4" s="3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x14ac:dyDescent="0.15">
      <c r="A5" s="12" t="s">
        <v>37</v>
      </c>
      <c r="B5" s="20" t="s">
        <v>487</v>
      </c>
      <c r="C5" s="6">
        <v>2014</v>
      </c>
      <c r="D5" s="36">
        <v>0</v>
      </c>
      <c r="E5" s="36">
        <v>0</v>
      </c>
      <c r="F5" s="36">
        <v>1</v>
      </c>
      <c r="G5" s="36">
        <v>0</v>
      </c>
      <c r="H5" s="5" t="s">
        <v>1137</v>
      </c>
      <c r="I5" s="57"/>
    </row>
    <row r="6" spans="1:23" x14ac:dyDescent="0.15">
      <c r="A6" s="12" t="s">
        <v>38</v>
      </c>
      <c r="B6" s="20" t="s">
        <v>488</v>
      </c>
      <c r="C6" s="6">
        <v>1979</v>
      </c>
      <c r="D6" s="6">
        <v>1</v>
      </c>
      <c r="E6" s="6">
        <v>0</v>
      </c>
      <c r="F6" s="6">
        <v>0</v>
      </c>
      <c r="G6" s="6">
        <v>0</v>
      </c>
      <c r="H6" s="5" t="s">
        <v>1522</v>
      </c>
      <c r="I6" s="57"/>
    </row>
    <row r="7" spans="1:23" x14ac:dyDescent="0.15">
      <c r="A7" s="12" t="s">
        <v>39</v>
      </c>
      <c r="B7" s="20" t="s">
        <v>9</v>
      </c>
      <c r="C7" s="6">
        <v>1962</v>
      </c>
      <c r="D7" s="6">
        <v>1</v>
      </c>
      <c r="E7" s="6">
        <v>0</v>
      </c>
      <c r="F7" s="6">
        <v>0</v>
      </c>
      <c r="G7" s="6">
        <v>0</v>
      </c>
      <c r="H7" s="5" t="s">
        <v>1263</v>
      </c>
      <c r="I7" s="57"/>
    </row>
    <row r="8" spans="1:23" x14ac:dyDescent="0.15">
      <c r="A8" s="12" t="s">
        <v>40</v>
      </c>
      <c r="B8" s="20" t="s">
        <v>489</v>
      </c>
      <c r="C8" s="6">
        <v>2010</v>
      </c>
      <c r="D8" s="13">
        <v>0</v>
      </c>
      <c r="E8" s="13">
        <v>0</v>
      </c>
      <c r="F8" s="13">
        <v>0</v>
      </c>
      <c r="G8" s="6">
        <v>1</v>
      </c>
      <c r="H8" s="5" t="s">
        <v>1137</v>
      </c>
      <c r="I8" s="57"/>
    </row>
    <row r="9" spans="1:23" x14ac:dyDescent="0.15">
      <c r="A9" s="12" t="s">
        <v>41</v>
      </c>
      <c r="B9" s="20" t="s">
        <v>490</v>
      </c>
      <c r="C9" s="6">
        <v>2004</v>
      </c>
      <c r="D9" s="36">
        <v>0</v>
      </c>
      <c r="E9" s="36">
        <v>0</v>
      </c>
      <c r="F9" s="36">
        <v>1</v>
      </c>
      <c r="G9" s="6">
        <v>0</v>
      </c>
      <c r="H9" s="37" t="s">
        <v>1523</v>
      </c>
      <c r="I9" s="57"/>
    </row>
    <row r="10" spans="1:23" x14ac:dyDescent="0.15">
      <c r="A10" s="12" t="s">
        <v>42</v>
      </c>
      <c r="B10" s="20" t="s">
        <v>491</v>
      </c>
      <c r="C10" s="6">
        <v>1967</v>
      </c>
      <c r="D10" s="6">
        <v>0</v>
      </c>
      <c r="E10" s="6">
        <v>0</v>
      </c>
      <c r="F10" s="6">
        <v>0</v>
      </c>
      <c r="G10" s="6">
        <v>1</v>
      </c>
      <c r="H10" s="5" t="s">
        <v>1152</v>
      </c>
      <c r="I10" s="57"/>
    </row>
    <row r="11" spans="1:23" x14ac:dyDescent="0.15">
      <c r="A11" s="12" t="s">
        <v>43</v>
      </c>
      <c r="B11" s="20" t="s">
        <v>492</v>
      </c>
      <c r="C11" s="6">
        <v>1933</v>
      </c>
      <c r="D11" s="6">
        <v>0</v>
      </c>
      <c r="E11" s="6">
        <v>1</v>
      </c>
      <c r="F11" s="6">
        <v>0</v>
      </c>
      <c r="G11" s="6">
        <v>0</v>
      </c>
      <c r="H11" s="5" t="s">
        <v>1143</v>
      </c>
      <c r="I11" s="57"/>
    </row>
    <row r="12" spans="1:23" x14ac:dyDescent="0.15">
      <c r="A12" s="12" t="s">
        <v>44</v>
      </c>
      <c r="B12" s="20" t="s">
        <v>493</v>
      </c>
      <c r="C12" s="6">
        <v>1974</v>
      </c>
      <c r="D12" s="13">
        <v>0</v>
      </c>
      <c r="E12" s="13">
        <v>0</v>
      </c>
      <c r="F12" s="13">
        <v>0</v>
      </c>
      <c r="G12" s="6">
        <v>1</v>
      </c>
      <c r="H12" s="5" t="s">
        <v>1137</v>
      </c>
      <c r="I12" s="57"/>
    </row>
    <row r="13" spans="1:23" x14ac:dyDescent="0.15">
      <c r="A13" s="12" t="s">
        <v>45</v>
      </c>
      <c r="B13" s="20" t="s">
        <v>306</v>
      </c>
      <c r="C13" s="6">
        <v>1926</v>
      </c>
      <c r="D13" s="6">
        <v>1</v>
      </c>
      <c r="E13" s="6">
        <v>0</v>
      </c>
      <c r="F13" s="6">
        <v>0</v>
      </c>
      <c r="G13" s="6">
        <v>0</v>
      </c>
      <c r="H13" s="5" t="s">
        <v>1144</v>
      </c>
      <c r="I13" s="57"/>
    </row>
    <row r="14" spans="1:23" x14ac:dyDescent="0.15">
      <c r="A14" s="12" t="s">
        <v>46</v>
      </c>
      <c r="B14" s="20" t="s">
        <v>1297</v>
      </c>
      <c r="C14" s="6">
        <v>1801</v>
      </c>
      <c r="D14" s="36">
        <v>0</v>
      </c>
      <c r="E14" s="36">
        <v>0</v>
      </c>
      <c r="F14" s="36">
        <v>1</v>
      </c>
      <c r="G14" s="6">
        <v>0</v>
      </c>
      <c r="H14" s="5" t="s">
        <v>1137</v>
      </c>
      <c r="I14" s="57"/>
    </row>
    <row r="15" spans="1:23" x14ac:dyDescent="0.15">
      <c r="A15" s="12" t="s">
        <v>47</v>
      </c>
      <c r="B15" s="20" t="s">
        <v>1298</v>
      </c>
      <c r="C15" s="6">
        <v>1975</v>
      </c>
      <c r="D15" s="36">
        <v>0</v>
      </c>
      <c r="E15" s="36">
        <v>0</v>
      </c>
      <c r="F15" s="36">
        <v>1</v>
      </c>
      <c r="G15" s="6">
        <v>0</v>
      </c>
      <c r="H15" s="5" t="s">
        <v>1137</v>
      </c>
      <c r="I15" s="57"/>
    </row>
    <row r="16" spans="1:23" x14ac:dyDescent="0.15">
      <c r="A16" s="12" t="s">
        <v>48</v>
      </c>
      <c r="B16" s="20" t="s">
        <v>1299</v>
      </c>
      <c r="C16" s="6">
        <v>1909</v>
      </c>
      <c r="D16" s="36">
        <v>0</v>
      </c>
      <c r="E16" s="36">
        <v>1</v>
      </c>
      <c r="F16" s="36">
        <v>1</v>
      </c>
      <c r="G16" s="6">
        <v>0</v>
      </c>
      <c r="H16" s="5" t="s">
        <v>1147</v>
      </c>
      <c r="I16" s="57"/>
    </row>
    <row r="17" spans="1:9" x14ac:dyDescent="0.15">
      <c r="A17" s="12" t="s">
        <v>49</v>
      </c>
      <c r="B17" s="20" t="s">
        <v>13</v>
      </c>
      <c r="C17" s="6">
        <v>1970</v>
      </c>
      <c r="D17" s="36">
        <v>0</v>
      </c>
      <c r="E17" s="36">
        <v>1</v>
      </c>
      <c r="F17" s="36">
        <v>1</v>
      </c>
      <c r="G17" s="6">
        <v>0</v>
      </c>
      <c r="H17" s="5" t="s">
        <v>1148</v>
      </c>
      <c r="I17" s="5"/>
    </row>
    <row r="18" spans="1:9" ht="14" x14ac:dyDescent="0.2">
      <c r="A18" s="60" t="s">
        <v>877</v>
      </c>
      <c r="B18" s="23" t="s">
        <v>1372</v>
      </c>
      <c r="C18" s="6">
        <v>1903</v>
      </c>
      <c r="D18" s="25" t="s">
        <v>1001</v>
      </c>
      <c r="E18" s="25" t="s">
        <v>1001</v>
      </c>
      <c r="F18" s="25" t="s">
        <v>1001</v>
      </c>
      <c r="G18" s="25" t="s">
        <v>1001</v>
      </c>
      <c r="H18" s="25" t="s">
        <v>1001</v>
      </c>
      <c r="I18" s="57"/>
    </row>
    <row r="19" spans="1:9" x14ac:dyDescent="0.15">
      <c r="A19" s="12" t="s">
        <v>50</v>
      </c>
      <c r="B19" s="20" t="s">
        <v>307</v>
      </c>
      <c r="C19" s="6">
        <v>1938</v>
      </c>
      <c r="D19" s="6">
        <v>0</v>
      </c>
      <c r="E19" s="6">
        <v>0</v>
      </c>
      <c r="F19" s="6">
        <v>0</v>
      </c>
      <c r="G19" s="6">
        <v>1</v>
      </c>
      <c r="H19" s="5" t="s">
        <v>1560</v>
      </c>
      <c r="I19" s="57"/>
    </row>
    <row r="20" spans="1:9" x14ac:dyDescent="0.15">
      <c r="A20" s="12" t="s">
        <v>51</v>
      </c>
      <c r="B20" s="20" t="s">
        <v>308</v>
      </c>
      <c r="C20" s="6">
        <v>1994</v>
      </c>
      <c r="D20" s="6">
        <v>1</v>
      </c>
      <c r="E20" s="6">
        <v>0</v>
      </c>
      <c r="F20" s="6">
        <v>0</v>
      </c>
      <c r="G20" s="6">
        <v>0</v>
      </c>
      <c r="H20" s="5" t="s">
        <v>956</v>
      </c>
      <c r="I20" s="57"/>
    </row>
    <row r="21" spans="1:9" x14ac:dyDescent="0.15">
      <c r="A21" s="12" t="s">
        <v>52</v>
      </c>
      <c r="B21" s="20" t="s">
        <v>1156</v>
      </c>
      <c r="C21" s="6">
        <v>1961</v>
      </c>
      <c r="D21" s="6">
        <v>1</v>
      </c>
      <c r="E21" s="6">
        <v>0</v>
      </c>
      <c r="F21" s="6">
        <v>1</v>
      </c>
      <c r="G21" s="6">
        <v>0</v>
      </c>
      <c r="H21" s="5" t="s">
        <v>1149</v>
      </c>
      <c r="I21" s="57"/>
    </row>
    <row r="22" spans="1:9" x14ac:dyDescent="0.15">
      <c r="A22" s="12" t="s">
        <v>53</v>
      </c>
      <c r="B22" s="20" t="s">
        <v>923</v>
      </c>
      <c r="C22" s="6">
        <v>1967</v>
      </c>
      <c r="D22" s="6">
        <v>0</v>
      </c>
      <c r="E22" s="6">
        <v>1</v>
      </c>
      <c r="F22" s="6">
        <v>0</v>
      </c>
      <c r="G22" s="6">
        <v>0</v>
      </c>
      <c r="H22" s="8" t="s">
        <v>1153</v>
      </c>
      <c r="I22" s="57"/>
    </row>
    <row r="23" spans="1:9" x14ac:dyDescent="0.15">
      <c r="A23" s="12" t="s">
        <v>54</v>
      </c>
      <c r="B23" s="20" t="s">
        <v>309</v>
      </c>
      <c r="C23" s="6">
        <v>1961</v>
      </c>
      <c r="D23" s="6">
        <v>0</v>
      </c>
      <c r="E23" s="6">
        <v>1</v>
      </c>
      <c r="F23" s="6">
        <v>0</v>
      </c>
      <c r="G23" s="6">
        <v>0</v>
      </c>
      <c r="H23" s="5" t="s">
        <v>1538</v>
      </c>
      <c r="I23" s="57"/>
    </row>
    <row r="24" spans="1:9" x14ac:dyDescent="0.15">
      <c r="A24" s="12" t="s">
        <v>55</v>
      </c>
      <c r="B24" s="20" t="s">
        <v>310</v>
      </c>
      <c r="C24" s="6">
        <v>1988</v>
      </c>
      <c r="D24" s="6">
        <v>0</v>
      </c>
      <c r="E24" s="6">
        <v>0</v>
      </c>
      <c r="F24" s="6">
        <v>1</v>
      </c>
      <c r="G24" s="6">
        <v>0</v>
      </c>
      <c r="H24" s="5" t="s">
        <v>1137</v>
      </c>
      <c r="I24" s="57"/>
    </row>
    <row r="25" spans="1:9" x14ac:dyDescent="0.15">
      <c r="A25" s="12" t="s">
        <v>56</v>
      </c>
      <c r="B25" s="20" t="s">
        <v>311</v>
      </c>
      <c r="C25" s="6">
        <v>2005</v>
      </c>
      <c r="D25" s="6">
        <v>0</v>
      </c>
      <c r="E25" s="6">
        <v>0</v>
      </c>
      <c r="F25" s="6">
        <v>0</v>
      </c>
      <c r="G25" s="6">
        <v>1</v>
      </c>
      <c r="H25" s="5" t="s">
        <v>1137</v>
      </c>
      <c r="I25" s="57"/>
    </row>
    <row r="26" spans="1:9" x14ac:dyDescent="0.15">
      <c r="A26" s="12" t="s">
        <v>57</v>
      </c>
      <c r="B26" s="20" t="s">
        <v>1</v>
      </c>
      <c r="C26" s="6">
        <v>1974</v>
      </c>
      <c r="D26" s="36">
        <v>1</v>
      </c>
      <c r="E26" s="36">
        <v>0</v>
      </c>
      <c r="F26" s="36">
        <v>1</v>
      </c>
      <c r="G26" s="6">
        <v>0</v>
      </c>
      <c r="H26" s="5" t="s">
        <v>1379</v>
      </c>
      <c r="I26" s="57"/>
    </row>
    <row r="27" spans="1:9" x14ac:dyDescent="0.15">
      <c r="A27" s="12" t="s">
        <v>58</v>
      </c>
      <c r="B27" s="20" t="s">
        <v>312</v>
      </c>
      <c r="C27" s="6">
        <v>1789</v>
      </c>
      <c r="D27" s="36">
        <v>0</v>
      </c>
      <c r="E27" s="36">
        <v>1</v>
      </c>
      <c r="F27" s="36">
        <v>1</v>
      </c>
      <c r="G27" s="6">
        <v>0</v>
      </c>
      <c r="H27" s="5" t="s">
        <v>1150</v>
      </c>
      <c r="I27" s="5"/>
    </row>
    <row r="28" spans="1:9" x14ac:dyDescent="0.15">
      <c r="A28" s="12" t="s">
        <v>59</v>
      </c>
      <c r="B28" s="20" t="s">
        <v>313</v>
      </c>
      <c r="C28" s="6">
        <v>1998</v>
      </c>
      <c r="D28" s="6">
        <v>0</v>
      </c>
      <c r="E28" s="6">
        <v>1</v>
      </c>
      <c r="F28" s="6">
        <v>0</v>
      </c>
      <c r="G28" s="6">
        <v>0</v>
      </c>
      <c r="H28" s="5" t="s">
        <v>1524</v>
      </c>
    </row>
    <row r="29" spans="1:9" ht="14" x14ac:dyDescent="0.2">
      <c r="A29" s="12" t="s">
        <v>60</v>
      </c>
      <c r="B29" s="20" t="s">
        <v>314</v>
      </c>
      <c r="C29" s="25" t="s">
        <v>877</v>
      </c>
      <c r="D29" s="6">
        <v>0</v>
      </c>
      <c r="E29" s="6">
        <v>1</v>
      </c>
      <c r="F29" s="6">
        <v>0</v>
      </c>
      <c r="G29" s="6">
        <v>0</v>
      </c>
      <c r="H29" s="25" t="s">
        <v>877</v>
      </c>
      <c r="I29" s="57"/>
    </row>
    <row r="30" spans="1:9" x14ac:dyDescent="0.15">
      <c r="A30" s="8" t="s">
        <v>61</v>
      </c>
      <c r="B30" s="20" t="s">
        <v>23</v>
      </c>
      <c r="C30" s="6">
        <v>1965</v>
      </c>
      <c r="D30" s="36">
        <v>0</v>
      </c>
      <c r="E30" s="36">
        <v>0</v>
      </c>
      <c r="F30" s="36">
        <v>1</v>
      </c>
      <c r="G30" s="6">
        <v>0</v>
      </c>
      <c r="H30" s="5" t="s">
        <v>1137</v>
      </c>
      <c r="I30" s="57"/>
    </row>
    <row r="31" spans="1:9" x14ac:dyDescent="0.15">
      <c r="A31" s="8" t="s">
        <v>62</v>
      </c>
      <c r="B31" s="20" t="s">
        <v>315</v>
      </c>
      <c r="C31" s="6">
        <v>2003</v>
      </c>
      <c r="D31" s="36">
        <v>0</v>
      </c>
      <c r="E31" s="36">
        <v>0</v>
      </c>
      <c r="F31" s="36">
        <v>1</v>
      </c>
      <c r="G31" s="6">
        <v>0</v>
      </c>
      <c r="H31" s="5" t="s">
        <v>1137</v>
      </c>
      <c r="I31" s="57"/>
    </row>
    <row r="32" spans="1:9" x14ac:dyDescent="0.15">
      <c r="A32" s="8" t="s">
        <v>63</v>
      </c>
      <c r="B32" s="20" t="s">
        <v>316</v>
      </c>
      <c r="C32" s="6">
        <v>2008</v>
      </c>
      <c r="D32" s="6">
        <v>0</v>
      </c>
      <c r="E32" s="6">
        <v>0</v>
      </c>
      <c r="F32" s="6">
        <v>0</v>
      </c>
      <c r="G32" s="6">
        <v>1</v>
      </c>
      <c r="H32" s="5" t="s">
        <v>1525</v>
      </c>
      <c r="I32" s="57"/>
    </row>
    <row r="33" spans="1:9" x14ac:dyDescent="0.15">
      <c r="A33" s="8" t="s">
        <v>64</v>
      </c>
      <c r="B33" s="20" t="s">
        <v>938</v>
      </c>
      <c r="C33" s="6">
        <v>1991</v>
      </c>
      <c r="D33" s="36">
        <v>1</v>
      </c>
      <c r="E33" s="36">
        <v>0</v>
      </c>
      <c r="F33" s="36">
        <v>1</v>
      </c>
      <c r="G33" s="6">
        <v>0</v>
      </c>
      <c r="H33" s="5" t="s">
        <v>1151</v>
      </c>
      <c r="I33" s="57"/>
    </row>
    <row r="34" spans="1:9" x14ac:dyDescent="0.15">
      <c r="A34" s="8" t="s">
        <v>65</v>
      </c>
      <c r="B34" s="20" t="s">
        <v>902</v>
      </c>
      <c r="C34" s="6">
        <v>2015</v>
      </c>
      <c r="D34" s="36">
        <v>0</v>
      </c>
      <c r="E34" s="36">
        <v>0</v>
      </c>
      <c r="F34" s="36">
        <v>1</v>
      </c>
      <c r="G34" s="6">
        <v>0</v>
      </c>
      <c r="H34" s="5" t="s">
        <v>1137</v>
      </c>
      <c r="I34" s="57"/>
    </row>
    <row r="35" spans="1:9" x14ac:dyDescent="0.15">
      <c r="A35" s="8" t="s">
        <v>66</v>
      </c>
      <c r="B35" s="20" t="s">
        <v>1296</v>
      </c>
      <c r="C35" s="6">
        <v>1968</v>
      </c>
      <c r="D35" s="36">
        <v>0</v>
      </c>
      <c r="E35" s="36">
        <v>0</v>
      </c>
      <c r="F35" s="36">
        <v>0</v>
      </c>
      <c r="G35" s="6">
        <v>1</v>
      </c>
      <c r="H35" s="5" t="s">
        <v>1137</v>
      </c>
      <c r="I35" s="5"/>
    </row>
    <row r="36" spans="1:9" x14ac:dyDescent="0.15">
      <c r="A36" s="8" t="s">
        <v>67</v>
      </c>
      <c r="B36" s="20" t="s">
        <v>317</v>
      </c>
      <c r="C36" s="6">
        <v>1997</v>
      </c>
      <c r="D36" s="36">
        <v>0</v>
      </c>
      <c r="E36" s="36">
        <v>0</v>
      </c>
      <c r="F36" s="36">
        <v>0</v>
      </c>
      <c r="G36" s="6">
        <v>1</v>
      </c>
      <c r="H36" s="5" t="s">
        <v>1137</v>
      </c>
      <c r="I36" s="5"/>
    </row>
    <row r="37" spans="1:9" x14ac:dyDescent="0.15">
      <c r="A37" s="8" t="s">
        <v>68</v>
      </c>
      <c r="B37" s="20" t="s">
        <v>318</v>
      </c>
      <c r="C37" s="6">
        <v>2007</v>
      </c>
      <c r="D37" s="36">
        <v>0</v>
      </c>
      <c r="E37" s="36">
        <v>0</v>
      </c>
      <c r="F37" s="36">
        <v>0</v>
      </c>
      <c r="G37" s="6">
        <v>1</v>
      </c>
      <c r="H37" s="5" t="s">
        <v>1526</v>
      </c>
      <c r="I37" s="57"/>
    </row>
    <row r="38" spans="1:9" x14ac:dyDescent="0.15">
      <c r="A38" s="8" t="s">
        <v>69</v>
      </c>
      <c r="B38" s="20" t="s">
        <v>319</v>
      </c>
      <c r="C38" s="6">
        <v>2001</v>
      </c>
      <c r="D38" s="36">
        <v>0</v>
      </c>
      <c r="E38" s="36">
        <v>0</v>
      </c>
      <c r="F38" s="36">
        <v>1</v>
      </c>
      <c r="G38" s="6">
        <v>0</v>
      </c>
      <c r="H38" s="5" t="s">
        <v>1137</v>
      </c>
      <c r="I38" s="57"/>
    </row>
    <row r="39" spans="1:9" x14ac:dyDescent="0.15">
      <c r="A39" s="8" t="s">
        <v>70</v>
      </c>
      <c r="B39" s="20" t="s">
        <v>320</v>
      </c>
      <c r="C39" s="6">
        <v>2009</v>
      </c>
      <c r="D39" s="36">
        <v>0</v>
      </c>
      <c r="E39" s="36">
        <v>0</v>
      </c>
      <c r="F39" s="36">
        <v>0</v>
      </c>
      <c r="G39" s="6">
        <v>1</v>
      </c>
      <c r="H39" s="5" t="s">
        <v>1527</v>
      </c>
      <c r="I39" s="57"/>
    </row>
    <row r="40" spans="1:9" x14ac:dyDescent="0.15">
      <c r="A40" s="8" t="s">
        <v>71</v>
      </c>
      <c r="B40" s="20" t="s">
        <v>321</v>
      </c>
      <c r="C40" s="6">
        <v>1927</v>
      </c>
      <c r="D40" s="36">
        <v>0</v>
      </c>
      <c r="E40" s="36">
        <v>0</v>
      </c>
      <c r="F40" s="36">
        <v>0</v>
      </c>
      <c r="G40" s="6">
        <v>1</v>
      </c>
      <c r="H40" s="5" t="s">
        <v>1137</v>
      </c>
      <c r="I40" s="57"/>
    </row>
    <row r="41" spans="1:9" x14ac:dyDescent="0.15">
      <c r="A41" s="8" t="s">
        <v>72</v>
      </c>
      <c r="B41" s="20" t="s">
        <v>322</v>
      </c>
      <c r="C41" s="6">
        <v>1955</v>
      </c>
      <c r="D41" s="36">
        <v>0</v>
      </c>
      <c r="E41" s="36">
        <v>1</v>
      </c>
      <c r="F41" s="36">
        <v>0</v>
      </c>
      <c r="G41" s="6">
        <v>0</v>
      </c>
      <c r="H41" s="5" t="s">
        <v>1528</v>
      </c>
      <c r="I41" s="57"/>
    </row>
    <row r="42" spans="1:9" ht="14" x14ac:dyDescent="0.2">
      <c r="A42" s="60" t="s">
        <v>877</v>
      </c>
      <c r="B42" s="61" t="s">
        <v>1373</v>
      </c>
      <c r="C42" s="25" t="s">
        <v>1001</v>
      </c>
      <c r="D42" s="25" t="s">
        <v>1001</v>
      </c>
      <c r="E42" s="25" t="s">
        <v>1001</v>
      </c>
      <c r="F42" s="25" t="s">
        <v>1001</v>
      </c>
      <c r="G42" s="25" t="s">
        <v>1001</v>
      </c>
      <c r="H42" s="25" t="s">
        <v>1001</v>
      </c>
      <c r="I42" s="57"/>
    </row>
    <row r="43" spans="1:9" x14ac:dyDescent="0.15">
      <c r="A43" s="8" t="s">
        <v>73</v>
      </c>
      <c r="B43" s="20" t="s">
        <v>323</v>
      </c>
      <c r="C43" s="6">
        <v>1978</v>
      </c>
      <c r="D43" s="36">
        <v>0</v>
      </c>
      <c r="E43" s="36">
        <v>0</v>
      </c>
      <c r="F43" s="36">
        <v>0</v>
      </c>
      <c r="G43" s="6">
        <v>1</v>
      </c>
      <c r="H43" s="5" t="s">
        <v>1137</v>
      </c>
      <c r="I43" s="57"/>
    </row>
    <row r="44" spans="1:9" x14ac:dyDescent="0.15">
      <c r="A44" s="8" t="s">
        <v>74</v>
      </c>
      <c r="B44" s="20" t="s">
        <v>1300</v>
      </c>
      <c r="C44" s="6">
        <v>1884</v>
      </c>
      <c r="D44" s="6">
        <v>0</v>
      </c>
      <c r="E44" s="6">
        <v>0</v>
      </c>
      <c r="F44" s="6">
        <v>0</v>
      </c>
      <c r="G44" s="6">
        <v>1</v>
      </c>
      <c r="H44" s="5" t="s">
        <v>1529</v>
      </c>
      <c r="I44" s="57"/>
    </row>
    <row r="45" spans="1:9" x14ac:dyDescent="0.15">
      <c r="A45" s="8" t="s">
        <v>75</v>
      </c>
      <c r="B45" s="20" t="s">
        <v>324</v>
      </c>
      <c r="C45" s="6">
        <v>2011</v>
      </c>
      <c r="D45" s="36">
        <v>0</v>
      </c>
      <c r="E45" s="36">
        <v>0</v>
      </c>
      <c r="F45" s="36">
        <v>0</v>
      </c>
      <c r="G45" s="6">
        <v>1</v>
      </c>
      <c r="H45" s="5" t="s">
        <v>1137</v>
      </c>
    </row>
    <row r="46" spans="1:9" x14ac:dyDescent="0.15">
      <c r="A46" s="8" t="s">
        <v>76</v>
      </c>
      <c r="B46" s="20" t="s">
        <v>325</v>
      </c>
      <c r="C46" s="6">
        <v>1964</v>
      </c>
      <c r="D46" s="36">
        <v>0</v>
      </c>
      <c r="E46" s="36">
        <v>0</v>
      </c>
      <c r="F46" s="36">
        <v>0</v>
      </c>
      <c r="G46" s="6">
        <v>1</v>
      </c>
      <c r="H46" s="5" t="s">
        <v>1154</v>
      </c>
      <c r="I46" s="57"/>
    </row>
    <row r="47" spans="1:9" x14ac:dyDescent="0.15">
      <c r="A47" s="8" t="s">
        <v>77</v>
      </c>
      <c r="B47" s="20" t="s">
        <v>26</v>
      </c>
      <c r="C47" s="6">
        <v>1962</v>
      </c>
      <c r="D47" s="36">
        <v>1</v>
      </c>
      <c r="E47" s="36">
        <v>0</v>
      </c>
      <c r="F47" s="36">
        <v>1</v>
      </c>
      <c r="G47" s="6">
        <v>0</v>
      </c>
      <c r="H47" s="5" t="s">
        <v>1573</v>
      </c>
      <c r="I47" s="57"/>
    </row>
    <row r="48" spans="1:9" ht="14" x14ac:dyDescent="0.2">
      <c r="A48" s="8" t="s">
        <v>78</v>
      </c>
      <c r="B48" s="20" t="s">
        <v>303</v>
      </c>
      <c r="C48" s="6">
        <v>1983</v>
      </c>
      <c r="D48" s="36">
        <v>0</v>
      </c>
      <c r="E48" s="36">
        <v>1</v>
      </c>
      <c r="F48" s="36">
        <v>1</v>
      </c>
      <c r="G48" s="6">
        <v>0</v>
      </c>
      <c r="H48" s="5" t="s">
        <v>1556</v>
      </c>
      <c r="I48" s="57"/>
    </row>
    <row r="49" spans="1:9" x14ac:dyDescent="0.15">
      <c r="A49" s="8" t="s">
        <v>79</v>
      </c>
      <c r="B49" s="20" t="s">
        <v>326</v>
      </c>
      <c r="C49" s="6">
        <v>1968</v>
      </c>
      <c r="D49" s="36">
        <v>0</v>
      </c>
      <c r="E49" s="36">
        <v>0</v>
      </c>
      <c r="F49" s="36">
        <v>0</v>
      </c>
      <c r="G49" s="6">
        <v>1</v>
      </c>
      <c r="H49" s="5" t="s">
        <v>1137</v>
      </c>
      <c r="I49" s="57"/>
    </row>
    <row r="50" spans="1:9" x14ac:dyDescent="0.15">
      <c r="A50" s="8" t="s">
        <v>80</v>
      </c>
      <c r="B50" s="20" t="s">
        <v>327</v>
      </c>
      <c r="C50" s="6">
        <v>1988</v>
      </c>
      <c r="D50" s="6">
        <v>0</v>
      </c>
      <c r="E50" s="6">
        <v>0</v>
      </c>
      <c r="F50" s="6">
        <v>0</v>
      </c>
      <c r="G50" s="6">
        <v>1</v>
      </c>
      <c r="H50" s="5" t="s">
        <v>1531</v>
      </c>
      <c r="I50" s="57"/>
    </row>
    <row r="51" spans="1:9" x14ac:dyDescent="0.15">
      <c r="A51" s="8" t="s">
        <v>81</v>
      </c>
      <c r="B51" s="20" t="s">
        <v>16</v>
      </c>
      <c r="C51" s="6">
        <v>1983</v>
      </c>
      <c r="D51" s="36">
        <v>0</v>
      </c>
      <c r="E51" s="36">
        <v>0</v>
      </c>
      <c r="F51" s="36">
        <v>1</v>
      </c>
      <c r="G51" s="6">
        <v>0</v>
      </c>
      <c r="H51" s="5" t="s">
        <v>1137</v>
      </c>
      <c r="I51" s="57"/>
    </row>
    <row r="52" spans="1:9" x14ac:dyDescent="0.15">
      <c r="A52" s="8" t="s">
        <v>82</v>
      </c>
      <c r="B52" s="22" t="s">
        <v>305</v>
      </c>
      <c r="C52" s="6">
        <v>2014</v>
      </c>
      <c r="D52" s="36">
        <v>0</v>
      </c>
      <c r="E52" s="36">
        <v>0</v>
      </c>
      <c r="F52" s="36">
        <v>1</v>
      </c>
      <c r="G52" s="6">
        <v>0</v>
      </c>
      <c r="H52" s="5" t="s">
        <v>1137</v>
      </c>
      <c r="I52" s="57"/>
    </row>
    <row r="53" spans="1:9" x14ac:dyDescent="0.15">
      <c r="A53" s="8" t="s">
        <v>83</v>
      </c>
      <c r="B53" s="22" t="s">
        <v>861</v>
      </c>
      <c r="C53" s="6">
        <v>2015</v>
      </c>
      <c r="D53" s="6">
        <v>0</v>
      </c>
      <c r="E53" s="6">
        <v>0</v>
      </c>
      <c r="F53" s="6">
        <v>0</v>
      </c>
      <c r="G53" s="6">
        <v>1</v>
      </c>
      <c r="H53" s="5" t="s">
        <v>1155</v>
      </c>
      <c r="I53" s="57"/>
    </row>
    <row r="54" spans="1:9" x14ac:dyDescent="0.15">
      <c r="A54" s="8" t="s">
        <v>84</v>
      </c>
      <c r="B54" s="20" t="s">
        <v>12</v>
      </c>
      <c r="C54" s="6">
        <v>2002</v>
      </c>
      <c r="D54" s="36">
        <v>0</v>
      </c>
      <c r="E54" s="36">
        <v>0</v>
      </c>
      <c r="F54" s="36">
        <v>1</v>
      </c>
      <c r="G54" s="6">
        <v>0</v>
      </c>
      <c r="H54" s="5" t="s">
        <v>1137</v>
      </c>
      <c r="I54" s="57"/>
    </row>
    <row r="55" spans="1:9" x14ac:dyDescent="0.15">
      <c r="A55" s="8" t="s">
        <v>85</v>
      </c>
      <c r="B55" s="20" t="s">
        <v>328</v>
      </c>
      <c r="C55" s="6">
        <v>1983</v>
      </c>
      <c r="D55" s="6">
        <v>1</v>
      </c>
      <c r="E55" s="6">
        <v>0</v>
      </c>
      <c r="F55" s="6">
        <v>0</v>
      </c>
      <c r="G55" s="6">
        <v>0</v>
      </c>
      <c r="H55" s="5" t="s">
        <v>1264</v>
      </c>
      <c r="I55" s="57"/>
    </row>
    <row r="56" spans="1:9" x14ac:dyDescent="0.15">
      <c r="A56" s="8" t="s">
        <v>86</v>
      </c>
      <c r="B56" s="20" t="s">
        <v>329</v>
      </c>
      <c r="C56" s="6">
        <v>2011</v>
      </c>
      <c r="D56" s="6">
        <v>1</v>
      </c>
      <c r="E56" s="6">
        <v>0</v>
      </c>
      <c r="F56" s="6">
        <v>0</v>
      </c>
      <c r="G56" s="6">
        <v>0</v>
      </c>
      <c r="H56" s="5" t="s">
        <v>1178</v>
      </c>
    </row>
    <row r="57" spans="1:9" x14ac:dyDescent="0.15">
      <c r="A57" s="8" t="s">
        <v>87</v>
      </c>
      <c r="B57" s="20" t="s">
        <v>330</v>
      </c>
      <c r="C57" s="6">
        <v>1883</v>
      </c>
      <c r="D57" s="6">
        <v>0</v>
      </c>
      <c r="E57" s="6">
        <v>1</v>
      </c>
      <c r="F57" s="6">
        <v>0</v>
      </c>
      <c r="G57" s="6">
        <v>0</v>
      </c>
      <c r="H57" s="5" t="s">
        <v>1532</v>
      </c>
      <c r="I57" s="57"/>
    </row>
    <row r="58" spans="1:9" x14ac:dyDescent="0.15">
      <c r="A58" s="8" t="s">
        <v>88</v>
      </c>
      <c r="B58" s="20" t="s">
        <v>331</v>
      </c>
      <c r="C58" s="6">
        <v>1972</v>
      </c>
      <c r="D58" s="36">
        <v>1</v>
      </c>
      <c r="E58" s="36">
        <v>0</v>
      </c>
      <c r="F58" s="36">
        <v>1</v>
      </c>
      <c r="G58" s="6">
        <v>0</v>
      </c>
      <c r="H58" s="5" t="s">
        <v>1265</v>
      </c>
      <c r="I58" s="57"/>
    </row>
    <row r="59" spans="1:9" x14ac:dyDescent="0.15">
      <c r="A59" s="8" t="s">
        <v>89</v>
      </c>
      <c r="B59" s="20" t="s">
        <v>332</v>
      </c>
      <c r="C59" s="6">
        <v>1839</v>
      </c>
      <c r="D59" s="36">
        <v>0</v>
      </c>
      <c r="E59" s="36">
        <v>1</v>
      </c>
      <c r="F59" s="36">
        <v>1</v>
      </c>
      <c r="G59" s="6">
        <v>0</v>
      </c>
      <c r="H59" s="5" t="s">
        <v>1138</v>
      </c>
      <c r="I59" s="57"/>
    </row>
    <row r="60" spans="1:9" x14ac:dyDescent="0.15">
      <c r="A60" s="8" t="s">
        <v>90</v>
      </c>
      <c r="B60" s="20" t="s">
        <v>333</v>
      </c>
      <c r="C60" s="6">
        <v>2013</v>
      </c>
      <c r="D60" s="36">
        <v>0</v>
      </c>
      <c r="E60" s="36">
        <v>0</v>
      </c>
      <c r="F60" s="36">
        <v>1</v>
      </c>
      <c r="G60" s="6">
        <v>0</v>
      </c>
      <c r="H60" s="5" t="s">
        <v>1137</v>
      </c>
    </row>
    <row r="61" spans="1:9" x14ac:dyDescent="0.15">
      <c r="A61" s="8" t="s">
        <v>91</v>
      </c>
      <c r="B61" s="20" t="s">
        <v>22</v>
      </c>
      <c r="C61" s="6">
        <v>1806</v>
      </c>
      <c r="D61" s="36">
        <v>0</v>
      </c>
      <c r="E61" s="36">
        <v>1</v>
      </c>
      <c r="F61" s="36">
        <v>1</v>
      </c>
      <c r="G61" s="6">
        <v>0</v>
      </c>
      <c r="H61" s="5" t="s">
        <v>1138</v>
      </c>
      <c r="I61" s="57"/>
    </row>
    <row r="62" spans="1:9" x14ac:dyDescent="0.15">
      <c r="A62" s="8" t="s">
        <v>92</v>
      </c>
      <c r="B62" s="20" t="s">
        <v>2</v>
      </c>
      <c r="C62" s="6">
        <v>1884</v>
      </c>
      <c r="D62" s="36">
        <v>0</v>
      </c>
      <c r="E62" s="36">
        <v>1</v>
      </c>
      <c r="F62" s="36">
        <v>1</v>
      </c>
      <c r="G62" s="6">
        <v>0</v>
      </c>
      <c r="H62" s="5" t="s">
        <v>1157</v>
      </c>
      <c r="I62" s="57"/>
    </row>
    <row r="63" spans="1:9" x14ac:dyDescent="0.15">
      <c r="A63" s="8" t="s">
        <v>93</v>
      </c>
      <c r="B63" s="20" t="s">
        <v>36</v>
      </c>
      <c r="C63" s="6">
        <v>1881</v>
      </c>
      <c r="D63" s="36">
        <v>0</v>
      </c>
      <c r="E63" s="36">
        <v>1</v>
      </c>
      <c r="F63" s="36">
        <v>1</v>
      </c>
      <c r="G63" s="6">
        <v>0</v>
      </c>
      <c r="H63" s="5" t="s">
        <v>1159</v>
      </c>
      <c r="I63" s="57"/>
    </row>
    <row r="64" spans="1:9" x14ac:dyDescent="0.15">
      <c r="A64" s="62" t="s">
        <v>94</v>
      </c>
      <c r="B64" s="20" t="s">
        <v>334</v>
      </c>
      <c r="C64" s="6">
        <v>1980</v>
      </c>
      <c r="D64" s="6">
        <v>0</v>
      </c>
      <c r="E64" s="6">
        <v>0</v>
      </c>
      <c r="F64" s="6">
        <v>0</v>
      </c>
      <c r="G64" s="6">
        <v>1</v>
      </c>
      <c r="H64" s="5" t="s">
        <v>1139</v>
      </c>
      <c r="I64" s="57"/>
    </row>
    <row r="65" spans="1:9" x14ac:dyDescent="0.15">
      <c r="A65" s="62" t="s">
        <v>95</v>
      </c>
      <c r="B65" s="20" t="s">
        <v>3</v>
      </c>
      <c r="C65" s="6">
        <v>1913</v>
      </c>
      <c r="D65" s="36">
        <v>0</v>
      </c>
      <c r="E65" s="36">
        <v>0</v>
      </c>
      <c r="F65" s="36">
        <v>1</v>
      </c>
      <c r="G65" s="6">
        <v>0</v>
      </c>
      <c r="H65" s="5" t="s">
        <v>1595</v>
      </c>
      <c r="I65" s="57"/>
    </row>
    <row r="66" spans="1:9" x14ac:dyDescent="0.15">
      <c r="A66" s="62" t="s">
        <v>96</v>
      </c>
      <c r="B66" s="20" t="s">
        <v>336</v>
      </c>
      <c r="C66" s="6">
        <v>1957</v>
      </c>
      <c r="D66" s="6">
        <v>1</v>
      </c>
      <c r="E66" s="6">
        <v>0</v>
      </c>
      <c r="F66" s="6">
        <v>0</v>
      </c>
      <c r="G66" s="6">
        <v>0</v>
      </c>
      <c r="H66" s="5" t="s">
        <v>1537</v>
      </c>
      <c r="I66" s="57"/>
    </row>
    <row r="67" spans="1:9" x14ac:dyDescent="0.15">
      <c r="A67" s="62" t="s">
        <v>97</v>
      </c>
      <c r="B67" s="20" t="s">
        <v>337</v>
      </c>
      <c r="C67" s="6">
        <v>1962</v>
      </c>
      <c r="D67" s="6">
        <v>0</v>
      </c>
      <c r="E67" s="6">
        <v>0</v>
      </c>
      <c r="F67" s="6">
        <v>0</v>
      </c>
      <c r="G67" s="6">
        <v>1</v>
      </c>
      <c r="H67" s="5" t="s">
        <v>1204</v>
      </c>
      <c r="I67" s="57"/>
    </row>
    <row r="68" spans="1:9" x14ac:dyDescent="0.15">
      <c r="A68" s="62" t="s">
        <v>98</v>
      </c>
      <c r="B68" s="20" t="s">
        <v>338</v>
      </c>
      <c r="C68" s="6">
        <v>1976</v>
      </c>
      <c r="D68" s="36">
        <v>0</v>
      </c>
      <c r="E68" s="36">
        <v>0</v>
      </c>
      <c r="F68" s="36">
        <v>1</v>
      </c>
      <c r="G68" s="6">
        <v>0</v>
      </c>
      <c r="H68" s="5" t="s">
        <v>1139</v>
      </c>
      <c r="I68" s="57"/>
    </row>
    <row r="69" spans="1:9" x14ac:dyDescent="0.15">
      <c r="A69" s="62" t="s">
        <v>99</v>
      </c>
      <c r="B69" s="20" t="s">
        <v>339</v>
      </c>
      <c r="C69" s="6">
        <v>1933</v>
      </c>
      <c r="D69" s="6">
        <v>1</v>
      </c>
      <c r="E69" s="6">
        <v>0</v>
      </c>
      <c r="F69" s="6">
        <v>0</v>
      </c>
      <c r="G69" s="6">
        <v>0</v>
      </c>
      <c r="H69" s="5" t="s">
        <v>1574</v>
      </c>
      <c r="I69" s="57"/>
    </row>
    <row r="70" spans="1:9" x14ac:dyDescent="0.15">
      <c r="A70" s="62" t="s">
        <v>100</v>
      </c>
      <c r="B70" s="20" t="s">
        <v>340</v>
      </c>
      <c r="C70" s="6">
        <v>1989</v>
      </c>
      <c r="D70" s="36">
        <v>0</v>
      </c>
      <c r="E70" s="36">
        <v>0</v>
      </c>
      <c r="F70" s="36">
        <v>1</v>
      </c>
      <c r="G70" s="6">
        <v>0</v>
      </c>
      <c r="H70" s="5" t="s">
        <v>1162</v>
      </c>
      <c r="I70" s="57"/>
    </row>
    <row r="71" spans="1:9" x14ac:dyDescent="0.15">
      <c r="A71" s="62" t="s">
        <v>101</v>
      </c>
      <c r="B71" s="20" t="s">
        <v>341</v>
      </c>
      <c r="C71" s="6">
        <v>1926</v>
      </c>
      <c r="D71" s="6">
        <v>0</v>
      </c>
      <c r="E71" s="6">
        <v>1</v>
      </c>
      <c r="F71" s="6">
        <v>1</v>
      </c>
      <c r="G71" s="6">
        <v>0</v>
      </c>
      <c r="H71" s="5" t="s">
        <v>1535</v>
      </c>
      <c r="I71" s="57"/>
    </row>
    <row r="72" spans="1:9" x14ac:dyDescent="0.15">
      <c r="A72" s="62" t="s">
        <v>102</v>
      </c>
      <c r="B72" s="20" t="s">
        <v>342</v>
      </c>
      <c r="C72" s="6">
        <v>1966</v>
      </c>
      <c r="D72" s="36">
        <v>0</v>
      </c>
      <c r="E72" s="36">
        <v>0</v>
      </c>
      <c r="F72" s="36">
        <v>1</v>
      </c>
      <c r="G72" s="6">
        <v>0</v>
      </c>
      <c r="H72" s="5" t="s">
        <v>1412</v>
      </c>
      <c r="I72" s="57"/>
    </row>
    <row r="73" spans="1:9" x14ac:dyDescent="0.15">
      <c r="A73" s="62" t="s">
        <v>103</v>
      </c>
      <c r="B73" s="20" t="s">
        <v>343</v>
      </c>
      <c r="C73" s="6">
        <v>2011</v>
      </c>
      <c r="D73" s="36">
        <v>0</v>
      </c>
      <c r="E73" s="36">
        <v>0</v>
      </c>
      <c r="F73" s="36">
        <v>1</v>
      </c>
      <c r="G73" s="6">
        <v>0</v>
      </c>
      <c r="H73" s="5" t="s">
        <v>1137</v>
      </c>
      <c r="I73" s="57"/>
    </row>
    <row r="74" spans="1:9" x14ac:dyDescent="0.15">
      <c r="A74" s="62" t="s">
        <v>104</v>
      </c>
      <c r="B74" s="20" t="s">
        <v>344</v>
      </c>
      <c r="C74" s="6">
        <v>2013</v>
      </c>
      <c r="D74" s="36">
        <v>0</v>
      </c>
      <c r="E74" s="36">
        <v>0</v>
      </c>
      <c r="F74" s="36">
        <v>1</v>
      </c>
      <c r="G74" s="6">
        <v>0</v>
      </c>
      <c r="H74" s="5" t="s">
        <v>1137</v>
      </c>
      <c r="I74" s="57"/>
    </row>
    <row r="75" spans="1:9" x14ac:dyDescent="0.15">
      <c r="A75" s="62" t="s">
        <v>105</v>
      </c>
      <c r="B75" s="14" t="s">
        <v>10</v>
      </c>
      <c r="C75" s="6">
        <v>2008</v>
      </c>
      <c r="D75" s="36">
        <v>0</v>
      </c>
      <c r="E75" s="36">
        <v>0</v>
      </c>
      <c r="F75" s="36">
        <v>1</v>
      </c>
      <c r="G75" s="6">
        <v>0</v>
      </c>
      <c r="H75" s="5" t="s">
        <v>1137</v>
      </c>
      <c r="I75" s="57"/>
    </row>
    <row r="76" spans="1:9" x14ac:dyDescent="0.15">
      <c r="A76" s="62" t="s">
        <v>106</v>
      </c>
      <c r="B76" s="20" t="s">
        <v>14</v>
      </c>
      <c r="C76" s="6">
        <v>1977</v>
      </c>
      <c r="D76" s="36">
        <v>0</v>
      </c>
      <c r="E76" s="36">
        <v>0</v>
      </c>
      <c r="F76" s="36">
        <v>1</v>
      </c>
      <c r="G76" s="6">
        <v>0</v>
      </c>
      <c r="H76" s="5" t="s">
        <v>1137</v>
      </c>
      <c r="I76" s="57"/>
    </row>
    <row r="77" spans="1:9" x14ac:dyDescent="0.15">
      <c r="A77" s="62" t="s">
        <v>107</v>
      </c>
      <c r="B77" s="20" t="s">
        <v>920</v>
      </c>
      <c r="C77" s="6">
        <v>2004</v>
      </c>
      <c r="D77" s="36">
        <v>0</v>
      </c>
      <c r="E77" s="36">
        <v>0</v>
      </c>
      <c r="F77" s="36">
        <v>1</v>
      </c>
      <c r="G77" s="6">
        <v>0</v>
      </c>
      <c r="H77" s="5" t="s">
        <v>1137</v>
      </c>
      <c r="I77" s="57"/>
    </row>
    <row r="78" spans="1:9" x14ac:dyDescent="0.15">
      <c r="A78" s="62" t="s">
        <v>108</v>
      </c>
      <c r="B78" s="20" t="s">
        <v>345</v>
      </c>
      <c r="C78" s="6">
        <v>2016</v>
      </c>
      <c r="D78" s="36">
        <v>0</v>
      </c>
      <c r="E78" s="36">
        <v>0</v>
      </c>
      <c r="F78" s="36">
        <v>1</v>
      </c>
      <c r="G78" s="6">
        <v>0</v>
      </c>
      <c r="H78" s="5" t="s">
        <v>1137</v>
      </c>
      <c r="I78" s="57"/>
    </row>
    <row r="79" spans="1:9" x14ac:dyDescent="0.15">
      <c r="A79" s="62" t="s">
        <v>109</v>
      </c>
      <c r="B79" s="20" t="s">
        <v>346</v>
      </c>
      <c r="C79" s="6">
        <v>2015</v>
      </c>
      <c r="D79" s="36">
        <v>0</v>
      </c>
      <c r="E79" s="36">
        <v>0</v>
      </c>
      <c r="F79" s="36">
        <v>1</v>
      </c>
      <c r="G79" s="6">
        <v>0</v>
      </c>
      <c r="H79" s="5" t="s">
        <v>1137</v>
      </c>
      <c r="I79" s="57"/>
    </row>
    <row r="80" spans="1:9" x14ac:dyDescent="0.15">
      <c r="A80" s="62" t="s">
        <v>110</v>
      </c>
      <c r="B80" s="20" t="s">
        <v>347</v>
      </c>
      <c r="C80" s="6">
        <v>1930</v>
      </c>
      <c r="D80" s="36">
        <v>0</v>
      </c>
      <c r="E80" s="36">
        <v>0</v>
      </c>
      <c r="F80" s="36">
        <v>1</v>
      </c>
      <c r="G80" s="6">
        <v>0</v>
      </c>
      <c r="H80" s="5" t="s">
        <v>1137</v>
      </c>
      <c r="I80" s="57"/>
    </row>
    <row r="81" spans="1:23" x14ac:dyDescent="0.15">
      <c r="A81" s="62" t="s">
        <v>111</v>
      </c>
      <c r="B81" s="20" t="s">
        <v>348</v>
      </c>
      <c r="C81" s="6">
        <v>1993</v>
      </c>
      <c r="D81" s="36">
        <v>0</v>
      </c>
      <c r="E81" s="36">
        <v>0</v>
      </c>
      <c r="F81" s="36">
        <v>1</v>
      </c>
      <c r="G81" s="6">
        <v>0</v>
      </c>
      <c r="H81" s="5" t="s">
        <v>1137</v>
      </c>
      <c r="I81" s="57"/>
    </row>
    <row r="82" spans="1:23" x14ac:dyDescent="0.15">
      <c r="A82" s="62" t="s">
        <v>112</v>
      </c>
      <c r="B82" s="22" t="s">
        <v>1336</v>
      </c>
      <c r="C82" s="6">
        <v>2016</v>
      </c>
      <c r="D82" s="36">
        <v>0</v>
      </c>
      <c r="E82" s="36">
        <v>0</v>
      </c>
      <c r="F82" s="36">
        <v>1</v>
      </c>
      <c r="G82" s="6">
        <v>0</v>
      </c>
      <c r="H82" s="5" t="s">
        <v>1137</v>
      </c>
      <c r="I82" s="57"/>
    </row>
    <row r="83" spans="1:23" x14ac:dyDescent="0.15">
      <c r="A83" s="62" t="s">
        <v>113</v>
      </c>
      <c r="B83" s="22" t="s">
        <v>1301</v>
      </c>
      <c r="C83" s="6">
        <v>2015</v>
      </c>
      <c r="D83" s="36">
        <v>0</v>
      </c>
      <c r="E83" s="36">
        <v>0</v>
      </c>
      <c r="F83" s="36">
        <v>0</v>
      </c>
      <c r="G83" s="6">
        <v>1</v>
      </c>
      <c r="H83" s="5" t="s">
        <v>1536</v>
      </c>
      <c r="I83" s="57"/>
    </row>
    <row r="84" spans="1:23" s="11" customFormat="1" x14ac:dyDescent="0.15">
      <c r="A84" s="62" t="s">
        <v>114</v>
      </c>
      <c r="B84" s="20" t="s">
        <v>349</v>
      </c>
      <c r="C84" s="6">
        <v>1983</v>
      </c>
      <c r="D84" s="36">
        <v>1</v>
      </c>
      <c r="E84" s="36">
        <v>0</v>
      </c>
      <c r="F84" s="36">
        <v>1</v>
      </c>
      <c r="G84" s="6">
        <v>0</v>
      </c>
      <c r="H84" s="5" t="s">
        <v>1274</v>
      </c>
      <c r="I84" s="57"/>
      <c r="J84" s="3"/>
      <c r="K84" s="3"/>
      <c r="L84" s="3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</row>
    <row r="85" spans="1:23" x14ac:dyDescent="0.15">
      <c r="A85" s="62" t="s">
        <v>115</v>
      </c>
      <c r="B85" s="20" t="s">
        <v>350</v>
      </c>
      <c r="C85" s="6">
        <v>1957</v>
      </c>
      <c r="D85" s="6">
        <v>1</v>
      </c>
      <c r="E85" s="6">
        <v>0</v>
      </c>
      <c r="F85" s="6">
        <v>0</v>
      </c>
      <c r="G85" s="6">
        <v>0</v>
      </c>
      <c r="H85" s="8" t="s">
        <v>1266</v>
      </c>
      <c r="I85" s="57"/>
    </row>
    <row r="86" spans="1:23" x14ac:dyDescent="0.15">
      <c r="A86" s="62" t="s">
        <v>116</v>
      </c>
      <c r="B86" s="20" t="s">
        <v>351</v>
      </c>
      <c r="C86" s="6">
        <v>1955</v>
      </c>
      <c r="D86" s="36">
        <v>0</v>
      </c>
      <c r="E86" s="36">
        <v>0</v>
      </c>
      <c r="F86" s="6">
        <v>0</v>
      </c>
      <c r="G86" s="6">
        <v>1</v>
      </c>
      <c r="H86" s="5" t="s">
        <v>1137</v>
      </c>
      <c r="I86" s="57"/>
    </row>
    <row r="87" spans="1:23" x14ac:dyDescent="0.15">
      <c r="A87" s="62" t="s">
        <v>117</v>
      </c>
      <c r="B87" s="20" t="s">
        <v>352</v>
      </c>
      <c r="C87" s="6">
        <v>1964</v>
      </c>
      <c r="D87" s="36">
        <v>0</v>
      </c>
      <c r="E87" s="36">
        <v>0</v>
      </c>
      <c r="F87" s="36">
        <v>0</v>
      </c>
      <c r="G87" s="6">
        <v>1</v>
      </c>
      <c r="H87" s="5" t="s">
        <v>1154</v>
      </c>
      <c r="I87" s="57"/>
    </row>
    <row r="88" spans="1:23" x14ac:dyDescent="0.15">
      <c r="A88" s="62" t="s">
        <v>118</v>
      </c>
      <c r="B88" s="20" t="s">
        <v>353</v>
      </c>
      <c r="C88" s="6">
        <v>1934</v>
      </c>
      <c r="D88" s="36">
        <v>0</v>
      </c>
      <c r="E88" s="36">
        <v>1</v>
      </c>
      <c r="F88" s="6">
        <v>1</v>
      </c>
      <c r="G88" s="6">
        <v>0</v>
      </c>
      <c r="H88" s="5" t="s">
        <v>1541</v>
      </c>
      <c r="I88" s="57"/>
    </row>
    <row r="89" spans="1:23" x14ac:dyDescent="0.15">
      <c r="A89" s="62" t="s">
        <v>119</v>
      </c>
      <c r="B89" s="20" t="s">
        <v>354</v>
      </c>
      <c r="C89" s="6">
        <v>1959</v>
      </c>
      <c r="D89" s="6">
        <v>1</v>
      </c>
      <c r="E89" s="6">
        <v>0</v>
      </c>
      <c r="F89" s="6">
        <v>0</v>
      </c>
      <c r="G89" s="6">
        <v>0</v>
      </c>
      <c r="H89" s="5" t="s">
        <v>1267</v>
      </c>
      <c r="I89" s="57"/>
    </row>
    <row r="90" spans="1:23" x14ac:dyDescent="0.15">
      <c r="A90" s="62" t="s">
        <v>120</v>
      </c>
      <c r="B90" s="20" t="s">
        <v>20</v>
      </c>
      <c r="C90" s="6">
        <v>1902</v>
      </c>
      <c r="D90" s="6">
        <v>0</v>
      </c>
      <c r="E90" s="6">
        <v>1</v>
      </c>
      <c r="F90" s="6">
        <v>1</v>
      </c>
      <c r="G90" s="6">
        <v>0</v>
      </c>
      <c r="H90" s="5" t="s">
        <v>1163</v>
      </c>
      <c r="I90" s="57"/>
    </row>
    <row r="91" spans="1:23" x14ac:dyDescent="0.15">
      <c r="A91" s="62" t="s">
        <v>121</v>
      </c>
      <c r="B91" s="20" t="s">
        <v>355</v>
      </c>
      <c r="C91" s="6">
        <v>1962</v>
      </c>
      <c r="D91" s="36">
        <v>0</v>
      </c>
      <c r="E91" s="36">
        <v>1</v>
      </c>
      <c r="F91" s="36">
        <v>0</v>
      </c>
      <c r="G91" s="6">
        <v>0</v>
      </c>
      <c r="H91" s="5" t="s">
        <v>1542</v>
      </c>
      <c r="I91" s="57"/>
    </row>
    <row r="92" spans="1:23" x14ac:dyDescent="0.15">
      <c r="A92" s="62" t="s">
        <v>122</v>
      </c>
      <c r="B92" s="20" t="s">
        <v>356</v>
      </c>
      <c r="C92" s="6">
        <v>1890</v>
      </c>
      <c r="D92" s="6">
        <v>0</v>
      </c>
      <c r="E92" s="6">
        <v>1</v>
      </c>
      <c r="F92" s="6">
        <v>0</v>
      </c>
      <c r="G92" s="6">
        <v>0</v>
      </c>
      <c r="H92" s="5" t="s">
        <v>1543</v>
      </c>
      <c r="I92" s="57"/>
    </row>
    <row r="93" spans="1:23" x14ac:dyDescent="0.15">
      <c r="A93" s="62" t="s">
        <v>123</v>
      </c>
      <c r="B93" s="20" t="s">
        <v>357</v>
      </c>
      <c r="C93" s="6">
        <v>1948</v>
      </c>
      <c r="D93" s="36">
        <v>0</v>
      </c>
      <c r="E93" s="36">
        <v>0</v>
      </c>
      <c r="F93" s="36">
        <v>1</v>
      </c>
      <c r="G93" s="6">
        <v>0</v>
      </c>
      <c r="H93" s="5" t="s">
        <v>1137</v>
      </c>
    </row>
    <row r="94" spans="1:23" x14ac:dyDescent="0.15">
      <c r="A94" s="62" t="s">
        <v>124</v>
      </c>
      <c r="B94" s="20" t="s">
        <v>358</v>
      </c>
      <c r="C94" s="6">
        <v>1956</v>
      </c>
      <c r="D94" s="36">
        <v>0</v>
      </c>
      <c r="E94" s="36">
        <v>0</v>
      </c>
      <c r="F94" s="36">
        <v>0</v>
      </c>
      <c r="G94" s="6">
        <v>1</v>
      </c>
      <c r="H94" s="5" t="s">
        <v>1164</v>
      </c>
      <c r="I94" s="57"/>
    </row>
    <row r="95" spans="1:23" x14ac:dyDescent="0.15">
      <c r="A95" s="62" t="s">
        <v>125</v>
      </c>
      <c r="B95" s="20" t="s">
        <v>1302</v>
      </c>
      <c r="C95" s="6">
        <v>1999</v>
      </c>
      <c r="D95" s="36">
        <v>0</v>
      </c>
      <c r="E95" s="36">
        <v>0</v>
      </c>
      <c r="F95" s="36">
        <v>1</v>
      </c>
      <c r="G95" s="6">
        <v>0</v>
      </c>
      <c r="H95" s="5" t="s">
        <v>1137</v>
      </c>
      <c r="I95" s="57"/>
    </row>
    <row r="96" spans="1:23" x14ac:dyDescent="0.15">
      <c r="A96" s="62" t="s">
        <v>126</v>
      </c>
      <c r="B96" s="20" t="s">
        <v>1303</v>
      </c>
      <c r="C96" s="6">
        <v>1903</v>
      </c>
      <c r="D96" s="36">
        <v>0</v>
      </c>
      <c r="E96" s="36">
        <v>0</v>
      </c>
      <c r="F96" s="36">
        <v>1</v>
      </c>
      <c r="G96" s="6">
        <v>0</v>
      </c>
      <c r="H96" s="5" t="s">
        <v>1137</v>
      </c>
      <c r="I96" s="57"/>
    </row>
    <row r="97" spans="1:9" x14ac:dyDescent="0.15">
      <c r="A97" s="62" t="s">
        <v>127</v>
      </c>
      <c r="B97" s="20" t="s">
        <v>359</v>
      </c>
      <c r="C97" s="6">
        <v>1986</v>
      </c>
      <c r="D97" s="36">
        <v>0</v>
      </c>
      <c r="E97" s="36">
        <v>0</v>
      </c>
      <c r="F97" s="36">
        <v>0</v>
      </c>
      <c r="G97" s="6">
        <v>1</v>
      </c>
      <c r="H97" s="5" t="s">
        <v>1137</v>
      </c>
      <c r="I97" s="57"/>
    </row>
    <row r="98" spans="1:9" x14ac:dyDescent="0.15">
      <c r="A98" s="62" t="s">
        <v>128</v>
      </c>
      <c r="B98" s="20" t="s">
        <v>360</v>
      </c>
      <c r="C98" s="6">
        <v>1977</v>
      </c>
      <c r="D98" s="6">
        <v>1</v>
      </c>
      <c r="E98" s="6">
        <v>0</v>
      </c>
      <c r="F98" s="6">
        <v>0</v>
      </c>
      <c r="G98" s="6">
        <v>0</v>
      </c>
      <c r="H98" s="5" t="s">
        <v>1548</v>
      </c>
      <c r="I98" s="57"/>
    </row>
    <row r="99" spans="1:9" x14ac:dyDescent="0.15">
      <c r="A99" s="62" t="s">
        <v>129</v>
      </c>
      <c r="B99" s="20" t="s">
        <v>361</v>
      </c>
      <c r="C99" s="6">
        <v>1937</v>
      </c>
      <c r="D99" s="36">
        <v>0</v>
      </c>
      <c r="E99" s="36">
        <v>0</v>
      </c>
      <c r="F99" s="36">
        <v>1</v>
      </c>
      <c r="G99" s="6">
        <v>0</v>
      </c>
      <c r="H99" s="5" t="s">
        <v>1549</v>
      </c>
    </row>
    <row r="100" spans="1:9" x14ac:dyDescent="0.15">
      <c r="A100" s="62" t="s">
        <v>130</v>
      </c>
      <c r="B100" s="20" t="s">
        <v>0</v>
      </c>
      <c r="C100" s="6">
        <v>1971</v>
      </c>
      <c r="D100" s="36">
        <v>0</v>
      </c>
      <c r="E100" s="36">
        <v>0</v>
      </c>
      <c r="F100" s="36">
        <v>1</v>
      </c>
      <c r="G100" s="6">
        <v>0</v>
      </c>
      <c r="H100" s="5" t="s">
        <v>1137</v>
      </c>
    </row>
    <row r="101" spans="1:9" x14ac:dyDescent="0.15">
      <c r="A101" s="62" t="s">
        <v>131</v>
      </c>
      <c r="B101" s="20" t="s">
        <v>362</v>
      </c>
      <c r="C101" s="6">
        <v>1876</v>
      </c>
      <c r="D101" s="36">
        <v>0</v>
      </c>
      <c r="E101" s="36">
        <v>0</v>
      </c>
      <c r="F101" s="36">
        <v>1</v>
      </c>
      <c r="G101" s="6">
        <v>0</v>
      </c>
      <c r="H101" s="5" t="s">
        <v>1137</v>
      </c>
    </row>
    <row r="102" spans="1:9" x14ac:dyDescent="0.15">
      <c r="A102" s="62" t="s">
        <v>132</v>
      </c>
      <c r="B102" s="20" t="s">
        <v>363</v>
      </c>
      <c r="C102" s="6">
        <v>1868</v>
      </c>
      <c r="D102" s="36">
        <v>0</v>
      </c>
      <c r="E102" s="36">
        <v>0</v>
      </c>
      <c r="F102" s="36">
        <v>0</v>
      </c>
      <c r="G102" s="6">
        <v>1</v>
      </c>
      <c r="H102" s="5" t="s">
        <v>1137</v>
      </c>
      <c r="I102" s="57"/>
    </row>
    <row r="103" spans="1:9" x14ac:dyDescent="0.15">
      <c r="A103" s="62" t="s">
        <v>133</v>
      </c>
      <c r="B103" s="20" t="s">
        <v>364</v>
      </c>
      <c r="C103" s="6">
        <v>1908</v>
      </c>
      <c r="D103" s="36">
        <v>0</v>
      </c>
      <c r="E103" s="36">
        <v>1</v>
      </c>
      <c r="F103" s="36">
        <v>1</v>
      </c>
      <c r="G103" s="6">
        <v>0</v>
      </c>
      <c r="H103" s="5" t="s">
        <v>1166</v>
      </c>
      <c r="I103" s="57"/>
    </row>
    <row r="104" spans="1:9" x14ac:dyDescent="0.15">
      <c r="A104" s="62" t="s">
        <v>134</v>
      </c>
      <c r="B104" s="20" t="s">
        <v>1304</v>
      </c>
      <c r="C104" s="6">
        <v>2007</v>
      </c>
      <c r="D104" s="36">
        <v>0</v>
      </c>
      <c r="E104" s="36">
        <v>0</v>
      </c>
      <c r="F104" s="36">
        <v>1</v>
      </c>
      <c r="G104" s="6">
        <v>0</v>
      </c>
      <c r="H104" s="5" t="s">
        <v>1137</v>
      </c>
      <c r="I104" s="57"/>
    </row>
    <row r="105" spans="1:9" x14ac:dyDescent="0.15">
      <c r="A105" s="62" t="s">
        <v>135</v>
      </c>
      <c r="B105" s="20" t="s">
        <v>365</v>
      </c>
      <c r="C105" s="6">
        <v>1964</v>
      </c>
      <c r="D105" s="6">
        <v>1</v>
      </c>
      <c r="E105" s="6">
        <v>0</v>
      </c>
      <c r="F105" s="6">
        <v>0</v>
      </c>
      <c r="G105" s="6">
        <v>0</v>
      </c>
      <c r="H105" s="5" t="s">
        <v>1553</v>
      </c>
      <c r="I105" s="57"/>
    </row>
    <row r="106" spans="1:9" x14ac:dyDescent="0.15">
      <c r="A106" s="62" t="s">
        <v>136</v>
      </c>
      <c r="B106" s="20" t="s">
        <v>366</v>
      </c>
      <c r="C106" s="6">
        <v>1877</v>
      </c>
      <c r="D106" s="36">
        <v>0</v>
      </c>
      <c r="E106" s="36">
        <v>0</v>
      </c>
      <c r="F106" s="36">
        <v>1</v>
      </c>
      <c r="G106" s="6">
        <v>0</v>
      </c>
      <c r="H106" s="5" t="s">
        <v>1137</v>
      </c>
      <c r="I106" s="57"/>
    </row>
    <row r="107" spans="1:9" x14ac:dyDescent="0.15">
      <c r="A107" s="62" t="s">
        <v>137</v>
      </c>
      <c r="B107" s="20" t="s">
        <v>367</v>
      </c>
      <c r="C107" s="6">
        <v>1834</v>
      </c>
      <c r="D107" s="6">
        <v>0</v>
      </c>
      <c r="E107" s="6">
        <v>1</v>
      </c>
      <c r="F107" s="6">
        <v>0</v>
      </c>
      <c r="G107" s="6">
        <v>0</v>
      </c>
      <c r="H107" s="5" t="s">
        <v>1554</v>
      </c>
      <c r="I107" s="57"/>
    </row>
    <row r="108" spans="1:9" x14ac:dyDescent="0.15">
      <c r="A108" s="62" t="s">
        <v>138</v>
      </c>
      <c r="B108" s="20" t="s">
        <v>368</v>
      </c>
      <c r="C108" s="6">
        <v>1965</v>
      </c>
      <c r="D108" s="36">
        <v>0</v>
      </c>
      <c r="E108" s="36">
        <v>0</v>
      </c>
      <c r="F108" s="36">
        <v>0</v>
      </c>
      <c r="G108" s="6">
        <v>1</v>
      </c>
      <c r="H108" s="5" t="s">
        <v>1137</v>
      </c>
      <c r="I108" s="57"/>
    </row>
    <row r="109" spans="1:9" x14ac:dyDescent="0.15">
      <c r="A109" s="62" t="s">
        <v>139</v>
      </c>
      <c r="B109" s="20" t="s">
        <v>369</v>
      </c>
      <c r="C109" s="6">
        <v>2007</v>
      </c>
      <c r="D109" s="6">
        <v>1</v>
      </c>
      <c r="E109" s="6">
        <v>0</v>
      </c>
      <c r="F109" s="6">
        <v>1</v>
      </c>
      <c r="G109" s="6">
        <v>0</v>
      </c>
      <c r="H109" s="5" t="s">
        <v>1555</v>
      </c>
      <c r="I109" s="57"/>
    </row>
    <row r="110" spans="1:9" ht="14" x14ac:dyDescent="0.2">
      <c r="A110" s="62" t="s">
        <v>140</v>
      </c>
      <c r="B110" s="20" t="s">
        <v>604</v>
      </c>
      <c r="C110" s="6">
        <v>2015</v>
      </c>
      <c r="D110" s="36">
        <v>0</v>
      </c>
      <c r="E110" s="36">
        <v>0</v>
      </c>
      <c r="F110" s="36">
        <v>1</v>
      </c>
      <c r="G110" s="6">
        <v>0</v>
      </c>
      <c r="H110" s="5" t="s">
        <v>1557</v>
      </c>
      <c r="I110" s="57"/>
    </row>
    <row r="111" spans="1:9" x14ac:dyDescent="0.15">
      <c r="A111" s="62" t="s">
        <v>141</v>
      </c>
      <c r="B111" s="20" t="s">
        <v>370</v>
      </c>
      <c r="C111" s="6">
        <v>1941</v>
      </c>
      <c r="D111" s="36">
        <v>0</v>
      </c>
      <c r="E111" s="36">
        <v>0</v>
      </c>
      <c r="F111" s="36">
        <v>0</v>
      </c>
      <c r="G111" s="6">
        <v>1</v>
      </c>
      <c r="H111" s="5" t="s">
        <v>1137</v>
      </c>
      <c r="I111" s="57"/>
    </row>
    <row r="112" spans="1:9" x14ac:dyDescent="0.15">
      <c r="A112" s="62" t="s">
        <v>142</v>
      </c>
      <c r="B112" s="20" t="s">
        <v>371</v>
      </c>
      <c r="C112" s="6">
        <v>1937</v>
      </c>
      <c r="D112" s="6">
        <v>0</v>
      </c>
      <c r="E112" s="6">
        <v>1</v>
      </c>
      <c r="F112" s="6">
        <v>0</v>
      </c>
      <c r="G112" s="6">
        <v>0</v>
      </c>
      <c r="H112" s="5" t="s">
        <v>1558</v>
      </c>
      <c r="I112" s="57"/>
    </row>
    <row r="113" spans="1:9" x14ac:dyDescent="0.15">
      <c r="A113" s="62" t="s">
        <v>143</v>
      </c>
      <c r="B113" s="20" t="s">
        <v>372</v>
      </c>
      <c r="C113" s="6">
        <v>1914</v>
      </c>
      <c r="D113" s="6">
        <v>0</v>
      </c>
      <c r="E113" s="6">
        <v>1</v>
      </c>
      <c r="F113" s="6">
        <v>0</v>
      </c>
      <c r="G113" s="6">
        <v>0</v>
      </c>
      <c r="H113" s="5" t="s">
        <v>1559</v>
      </c>
      <c r="I113" s="57"/>
    </row>
    <row r="114" spans="1:9" x14ac:dyDescent="0.15">
      <c r="A114" s="62" t="s">
        <v>144</v>
      </c>
      <c r="B114" s="20" t="s">
        <v>373</v>
      </c>
      <c r="C114" s="6">
        <v>1986</v>
      </c>
      <c r="D114" s="6">
        <v>0</v>
      </c>
      <c r="E114" s="6">
        <v>0</v>
      </c>
      <c r="F114" s="6">
        <v>0</v>
      </c>
      <c r="G114" s="6">
        <v>1</v>
      </c>
      <c r="H114" s="5" t="s">
        <v>1167</v>
      </c>
      <c r="I114" s="57"/>
    </row>
    <row r="115" spans="1:9" x14ac:dyDescent="0.15">
      <c r="A115" s="62" t="s">
        <v>145</v>
      </c>
      <c r="B115" s="20" t="s">
        <v>602</v>
      </c>
      <c r="C115" s="6">
        <v>2014</v>
      </c>
      <c r="D115" s="6">
        <v>0</v>
      </c>
      <c r="E115" s="6">
        <v>0</v>
      </c>
      <c r="F115" s="6">
        <v>0</v>
      </c>
      <c r="G115" s="6">
        <v>1</v>
      </c>
      <c r="H115" s="5" t="s">
        <v>1139</v>
      </c>
      <c r="I115" s="57"/>
    </row>
    <row r="116" spans="1:9" x14ac:dyDescent="0.15">
      <c r="A116" s="62" t="s">
        <v>146</v>
      </c>
      <c r="B116" s="20" t="s">
        <v>374</v>
      </c>
      <c r="C116" s="6">
        <v>2004</v>
      </c>
      <c r="D116" s="6">
        <v>1</v>
      </c>
      <c r="E116" s="6">
        <v>0</v>
      </c>
      <c r="F116" s="6">
        <v>0</v>
      </c>
      <c r="G116" s="6">
        <v>0</v>
      </c>
      <c r="H116" s="5" t="s">
        <v>1561</v>
      </c>
      <c r="I116" s="57"/>
    </row>
    <row r="117" spans="1:9" x14ac:dyDescent="0.15">
      <c r="A117" s="62" t="s">
        <v>147</v>
      </c>
      <c r="B117" s="20" t="s">
        <v>375</v>
      </c>
      <c r="C117" s="6">
        <v>2007</v>
      </c>
      <c r="D117" s="6">
        <v>0</v>
      </c>
      <c r="E117" s="6">
        <v>0</v>
      </c>
      <c r="F117" s="6">
        <v>0</v>
      </c>
      <c r="G117" s="6">
        <v>1</v>
      </c>
      <c r="H117" s="5" t="s">
        <v>1137</v>
      </c>
      <c r="I117" s="57"/>
    </row>
    <row r="118" spans="1:9" x14ac:dyDescent="0.15">
      <c r="A118" s="62" t="s">
        <v>148</v>
      </c>
      <c r="B118" s="20" t="s">
        <v>376</v>
      </c>
      <c r="C118" s="6">
        <v>2004</v>
      </c>
      <c r="D118" s="6">
        <v>0</v>
      </c>
      <c r="E118" s="6">
        <v>0</v>
      </c>
      <c r="F118" s="6">
        <v>0</v>
      </c>
      <c r="G118" s="6">
        <v>1</v>
      </c>
      <c r="H118" s="5" t="s">
        <v>1137</v>
      </c>
      <c r="I118" s="57"/>
    </row>
    <row r="119" spans="1:9" x14ac:dyDescent="0.15">
      <c r="A119" s="62" t="s">
        <v>149</v>
      </c>
      <c r="B119" s="20" t="s">
        <v>30</v>
      </c>
      <c r="C119" s="6">
        <v>1883</v>
      </c>
      <c r="D119" s="6">
        <v>0</v>
      </c>
      <c r="E119" s="6">
        <v>1</v>
      </c>
      <c r="F119" s="6">
        <v>0</v>
      </c>
      <c r="G119" s="6">
        <v>0</v>
      </c>
      <c r="H119" s="5" t="s">
        <v>1562</v>
      </c>
      <c r="I119" s="57"/>
    </row>
    <row r="120" spans="1:9" x14ac:dyDescent="0.15">
      <c r="A120" s="62" t="s">
        <v>150</v>
      </c>
      <c r="B120" s="20" t="s">
        <v>377</v>
      </c>
      <c r="C120" s="6">
        <v>1963</v>
      </c>
      <c r="D120" s="6">
        <v>0</v>
      </c>
      <c r="E120" s="6">
        <v>1</v>
      </c>
      <c r="F120" s="6">
        <v>1</v>
      </c>
      <c r="G120" s="6">
        <v>0</v>
      </c>
      <c r="H120" s="5" t="s">
        <v>1168</v>
      </c>
    </row>
    <row r="121" spans="1:9" x14ac:dyDescent="0.15">
      <c r="A121" s="62" t="s">
        <v>151</v>
      </c>
      <c r="B121" s="20" t="s">
        <v>29</v>
      </c>
      <c r="C121" s="6">
        <v>1942</v>
      </c>
      <c r="D121" s="6">
        <v>0</v>
      </c>
      <c r="E121" s="6">
        <v>0</v>
      </c>
      <c r="F121" s="6">
        <v>0</v>
      </c>
      <c r="G121" s="6">
        <v>1</v>
      </c>
      <c r="H121" s="5" t="s">
        <v>1169</v>
      </c>
      <c r="I121" s="57"/>
    </row>
    <row r="122" spans="1:9" x14ac:dyDescent="0.15">
      <c r="A122" s="62" t="s">
        <v>152</v>
      </c>
      <c r="B122" s="20" t="s">
        <v>378</v>
      </c>
      <c r="C122" s="6">
        <v>1980</v>
      </c>
      <c r="D122" s="6">
        <v>0</v>
      </c>
      <c r="E122" s="6">
        <v>0</v>
      </c>
      <c r="F122" s="6">
        <v>0</v>
      </c>
      <c r="G122" s="6">
        <v>1</v>
      </c>
      <c r="H122" s="5" t="s">
        <v>1137</v>
      </c>
      <c r="I122" s="57"/>
    </row>
    <row r="123" spans="1:9" x14ac:dyDescent="0.15">
      <c r="A123" s="62" t="s">
        <v>153</v>
      </c>
      <c r="B123" s="20" t="s">
        <v>379</v>
      </c>
      <c r="C123" s="6">
        <v>1889</v>
      </c>
      <c r="D123" s="6">
        <v>0</v>
      </c>
      <c r="E123" s="6">
        <v>1</v>
      </c>
      <c r="F123" s="6">
        <v>0</v>
      </c>
      <c r="G123" s="6">
        <v>0</v>
      </c>
      <c r="H123" s="5" t="s">
        <v>1565</v>
      </c>
      <c r="I123" s="57"/>
    </row>
    <row r="124" spans="1:9" x14ac:dyDescent="0.15">
      <c r="A124" s="62" t="s">
        <v>154</v>
      </c>
      <c r="B124" s="20" t="s">
        <v>1305</v>
      </c>
      <c r="C124" s="6">
        <v>2000</v>
      </c>
      <c r="D124" s="36">
        <v>0</v>
      </c>
      <c r="E124" s="36">
        <v>0</v>
      </c>
      <c r="F124" s="36">
        <v>1</v>
      </c>
      <c r="G124" s="6">
        <v>0</v>
      </c>
      <c r="H124" s="5" t="s">
        <v>1170</v>
      </c>
      <c r="I124" s="57"/>
    </row>
    <row r="125" spans="1:9" x14ac:dyDescent="0.15">
      <c r="A125" s="62" t="s">
        <v>155</v>
      </c>
      <c r="B125" s="20" t="s">
        <v>31</v>
      </c>
      <c r="C125" s="6">
        <v>1981</v>
      </c>
      <c r="D125" s="6">
        <v>0</v>
      </c>
      <c r="E125" s="6">
        <v>0</v>
      </c>
      <c r="F125" s="6">
        <v>0</v>
      </c>
      <c r="G125" s="6">
        <v>1</v>
      </c>
      <c r="H125" s="5" t="s">
        <v>1137</v>
      </c>
      <c r="I125" s="57"/>
    </row>
    <row r="126" spans="1:9" x14ac:dyDescent="0.15">
      <c r="A126" s="62" t="s">
        <v>156</v>
      </c>
      <c r="B126" s="20" t="s">
        <v>380</v>
      </c>
      <c r="C126" s="6">
        <v>2012</v>
      </c>
      <c r="D126" s="6">
        <v>0</v>
      </c>
      <c r="E126" s="6">
        <v>0</v>
      </c>
      <c r="F126" s="6">
        <v>0</v>
      </c>
      <c r="G126" s="6">
        <v>1</v>
      </c>
      <c r="H126" s="5" t="s">
        <v>1171</v>
      </c>
      <c r="I126" s="57"/>
    </row>
    <row r="127" spans="1:9" x14ac:dyDescent="0.15">
      <c r="A127" s="62" t="s">
        <v>157</v>
      </c>
      <c r="B127" s="20" t="s">
        <v>381</v>
      </c>
      <c r="C127" s="6">
        <v>1927</v>
      </c>
      <c r="D127" s="6">
        <v>0</v>
      </c>
      <c r="E127" s="6">
        <v>1</v>
      </c>
      <c r="F127" s="6">
        <v>0</v>
      </c>
      <c r="G127" s="6">
        <v>0</v>
      </c>
      <c r="H127" s="5" t="s">
        <v>1567</v>
      </c>
      <c r="I127" s="57"/>
    </row>
    <row r="128" spans="1:9" x14ac:dyDescent="0.15">
      <c r="A128" s="62" t="s">
        <v>158</v>
      </c>
      <c r="B128" s="20" t="s">
        <v>866</v>
      </c>
      <c r="C128" s="6">
        <v>2015</v>
      </c>
      <c r="D128" s="36">
        <v>0</v>
      </c>
      <c r="E128" s="36">
        <v>0</v>
      </c>
      <c r="F128" s="36">
        <v>1</v>
      </c>
      <c r="G128" s="6">
        <v>0</v>
      </c>
      <c r="H128" s="5" t="s">
        <v>1137</v>
      </c>
      <c r="I128" s="57"/>
    </row>
    <row r="129" spans="1:9" x14ac:dyDescent="0.15">
      <c r="A129" s="62" t="s">
        <v>159</v>
      </c>
      <c r="B129" s="20" t="s">
        <v>382</v>
      </c>
      <c r="C129" s="6">
        <v>2012</v>
      </c>
      <c r="D129" s="6">
        <v>0</v>
      </c>
      <c r="E129" s="6">
        <v>0</v>
      </c>
      <c r="F129" s="6">
        <v>1</v>
      </c>
      <c r="G129" s="6">
        <v>0</v>
      </c>
      <c r="H129" s="5" t="s">
        <v>1569</v>
      </c>
      <c r="I129" s="57"/>
    </row>
    <row r="130" spans="1:9" x14ac:dyDescent="0.15">
      <c r="A130" s="62" t="s">
        <v>160</v>
      </c>
      <c r="B130" s="20" t="s">
        <v>383</v>
      </c>
      <c r="C130" s="6">
        <v>2008</v>
      </c>
      <c r="D130" s="6">
        <v>0</v>
      </c>
      <c r="E130" s="6">
        <v>0</v>
      </c>
      <c r="F130" s="6">
        <v>0</v>
      </c>
      <c r="G130" s="6">
        <v>1</v>
      </c>
      <c r="H130" s="5" t="s">
        <v>1570</v>
      </c>
    </row>
    <row r="131" spans="1:9" x14ac:dyDescent="0.15">
      <c r="A131" s="62" t="s">
        <v>161</v>
      </c>
      <c r="B131" s="20" t="s">
        <v>1308</v>
      </c>
      <c r="C131" s="6">
        <v>1886</v>
      </c>
      <c r="D131" s="6">
        <v>0</v>
      </c>
      <c r="E131" s="6">
        <v>1</v>
      </c>
      <c r="F131" s="6">
        <v>1</v>
      </c>
      <c r="G131" s="6">
        <v>0</v>
      </c>
      <c r="H131" s="5" t="s">
        <v>1571</v>
      </c>
      <c r="I131" s="57"/>
    </row>
    <row r="132" spans="1:9" x14ac:dyDescent="0.15">
      <c r="A132" s="62" t="s">
        <v>162</v>
      </c>
      <c r="B132" s="20" t="s">
        <v>384</v>
      </c>
      <c r="C132" s="6">
        <v>1963</v>
      </c>
      <c r="D132" s="6">
        <v>0</v>
      </c>
      <c r="E132" s="6">
        <v>1</v>
      </c>
      <c r="F132" s="6">
        <v>0</v>
      </c>
      <c r="G132" s="6">
        <v>0</v>
      </c>
      <c r="H132" s="5" t="s">
        <v>1605</v>
      </c>
    </row>
    <row r="133" spans="1:9" x14ac:dyDescent="0.15">
      <c r="A133" s="62" t="s">
        <v>163</v>
      </c>
      <c r="B133" s="20" t="s">
        <v>385</v>
      </c>
      <c r="C133" s="6">
        <v>1939</v>
      </c>
      <c r="D133" s="6">
        <v>1</v>
      </c>
      <c r="E133" s="6">
        <v>0</v>
      </c>
      <c r="F133" s="36">
        <v>1</v>
      </c>
      <c r="G133" s="6">
        <v>0</v>
      </c>
      <c r="H133" s="5" t="s">
        <v>1179</v>
      </c>
      <c r="I133" s="57"/>
    </row>
    <row r="134" spans="1:9" x14ac:dyDescent="0.15">
      <c r="A134" s="62" t="s">
        <v>164</v>
      </c>
      <c r="B134" s="20" t="s">
        <v>386</v>
      </c>
      <c r="C134" s="6">
        <v>1966</v>
      </c>
      <c r="D134" s="36">
        <v>0</v>
      </c>
      <c r="E134" s="36">
        <v>0</v>
      </c>
      <c r="F134" s="6">
        <v>0</v>
      </c>
      <c r="G134" s="6">
        <v>1</v>
      </c>
      <c r="H134" s="5" t="s">
        <v>1268</v>
      </c>
    </row>
    <row r="135" spans="1:9" x14ac:dyDescent="0.15">
      <c r="A135" s="62" t="s">
        <v>165</v>
      </c>
      <c r="B135" s="20" t="s">
        <v>387</v>
      </c>
      <c r="C135" s="6">
        <v>1952</v>
      </c>
      <c r="D135" s="36">
        <v>0</v>
      </c>
      <c r="E135" s="36">
        <v>0</v>
      </c>
      <c r="F135" s="36">
        <v>1</v>
      </c>
      <c r="G135" s="6">
        <v>0</v>
      </c>
      <c r="H135" s="5" t="s">
        <v>1549</v>
      </c>
      <c r="I135" s="57"/>
    </row>
    <row r="136" spans="1:9" x14ac:dyDescent="0.15">
      <c r="A136" s="62" t="s">
        <v>166</v>
      </c>
      <c r="B136" s="20" t="s">
        <v>388</v>
      </c>
      <c r="C136" s="6">
        <v>1940</v>
      </c>
      <c r="D136" s="36">
        <v>0</v>
      </c>
      <c r="E136" s="36">
        <v>1</v>
      </c>
      <c r="F136" s="36">
        <v>0</v>
      </c>
      <c r="G136" s="6">
        <v>0</v>
      </c>
      <c r="H136" s="5" t="s">
        <v>1617</v>
      </c>
      <c r="I136" s="57"/>
    </row>
    <row r="137" spans="1:9" x14ac:dyDescent="0.15">
      <c r="A137" s="62" t="s">
        <v>167</v>
      </c>
      <c r="B137" s="20" t="s">
        <v>1306</v>
      </c>
      <c r="C137" s="6">
        <v>2013</v>
      </c>
      <c r="D137" s="36">
        <v>0</v>
      </c>
      <c r="E137" s="36">
        <v>0</v>
      </c>
      <c r="F137" s="36">
        <v>1</v>
      </c>
      <c r="G137" s="6">
        <v>0</v>
      </c>
      <c r="H137" s="5" t="s">
        <v>1137</v>
      </c>
      <c r="I137" s="57"/>
    </row>
    <row r="138" spans="1:9" x14ac:dyDescent="0.15">
      <c r="A138" s="62" t="s">
        <v>168</v>
      </c>
      <c r="B138" s="20" t="s">
        <v>389</v>
      </c>
      <c r="C138" s="6">
        <v>1854</v>
      </c>
      <c r="D138" s="6">
        <v>0</v>
      </c>
      <c r="E138" s="6">
        <v>0</v>
      </c>
      <c r="F138" s="6">
        <v>0</v>
      </c>
      <c r="G138" s="6">
        <v>1</v>
      </c>
      <c r="H138" s="5" t="s">
        <v>1294</v>
      </c>
      <c r="I138" s="57"/>
    </row>
    <row r="139" spans="1:9" x14ac:dyDescent="0.15">
      <c r="A139" s="62" t="s">
        <v>169</v>
      </c>
      <c r="B139" s="20" t="s">
        <v>34</v>
      </c>
      <c r="C139" s="6">
        <v>1901</v>
      </c>
      <c r="D139" s="6">
        <v>0</v>
      </c>
      <c r="E139" s="6">
        <v>0</v>
      </c>
      <c r="F139" s="6">
        <v>0</v>
      </c>
      <c r="G139" s="6">
        <v>1</v>
      </c>
      <c r="H139" s="5" t="s">
        <v>1137</v>
      </c>
      <c r="I139" s="57"/>
    </row>
    <row r="140" spans="1:9" x14ac:dyDescent="0.15">
      <c r="A140" s="62" t="s">
        <v>170</v>
      </c>
      <c r="B140" s="20" t="s">
        <v>390</v>
      </c>
      <c r="C140" s="6">
        <v>2010</v>
      </c>
      <c r="D140" s="36">
        <v>0</v>
      </c>
      <c r="E140" s="36">
        <v>0</v>
      </c>
      <c r="F140" s="36">
        <v>1</v>
      </c>
      <c r="G140" s="6">
        <v>0</v>
      </c>
      <c r="H140" s="5" t="s">
        <v>1172</v>
      </c>
      <c r="I140" s="57"/>
    </row>
    <row r="141" spans="1:9" x14ac:dyDescent="0.15">
      <c r="A141" s="62" t="s">
        <v>171</v>
      </c>
      <c r="B141" s="18" t="s">
        <v>15</v>
      </c>
      <c r="C141" s="6">
        <v>1999</v>
      </c>
      <c r="D141" s="36">
        <v>0</v>
      </c>
      <c r="E141" s="36">
        <v>0</v>
      </c>
      <c r="F141" s="36">
        <v>1</v>
      </c>
      <c r="G141" s="6">
        <v>0</v>
      </c>
      <c r="H141" s="5" t="s">
        <v>1162</v>
      </c>
    </row>
    <row r="142" spans="1:9" x14ac:dyDescent="0.15">
      <c r="A142" s="62" t="s">
        <v>172</v>
      </c>
      <c r="B142" s="20" t="s">
        <v>391</v>
      </c>
      <c r="C142" s="6">
        <v>2000</v>
      </c>
      <c r="D142" s="6">
        <v>0</v>
      </c>
      <c r="E142" s="6">
        <v>1</v>
      </c>
      <c r="F142" s="6">
        <v>0</v>
      </c>
      <c r="G142" s="6">
        <v>0</v>
      </c>
      <c r="H142" s="5" t="s">
        <v>1269</v>
      </c>
      <c r="I142" s="57"/>
    </row>
    <row r="143" spans="1:9" x14ac:dyDescent="0.15">
      <c r="A143" s="62" t="s">
        <v>173</v>
      </c>
      <c r="B143" s="20" t="s">
        <v>392</v>
      </c>
      <c r="C143" s="6">
        <v>2001</v>
      </c>
      <c r="D143" s="6">
        <v>0</v>
      </c>
      <c r="E143" s="6">
        <v>0</v>
      </c>
      <c r="F143" s="6">
        <v>1</v>
      </c>
      <c r="G143" s="6">
        <v>0</v>
      </c>
      <c r="H143" s="5" t="s">
        <v>1270</v>
      </c>
    </row>
    <row r="144" spans="1:9" x14ac:dyDescent="0.15">
      <c r="A144" s="62" t="s">
        <v>174</v>
      </c>
      <c r="B144" s="24" t="s">
        <v>925</v>
      </c>
      <c r="C144" s="6">
        <v>2017</v>
      </c>
      <c r="D144" s="6">
        <v>0</v>
      </c>
      <c r="E144" s="6">
        <v>0</v>
      </c>
      <c r="F144" s="6">
        <v>1</v>
      </c>
      <c r="G144" s="6">
        <v>0</v>
      </c>
      <c r="H144" s="5" t="s">
        <v>1137</v>
      </c>
      <c r="I144" s="57"/>
    </row>
    <row r="145" spans="1:9" x14ac:dyDescent="0.15">
      <c r="A145" s="62" t="s">
        <v>175</v>
      </c>
      <c r="B145" s="20" t="s">
        <v>393</v>
      </c>
      <c r="C145" s="6">
        <v>1874</v>
      </c>
      <c r="D145" s="36">
        <v>1</v>
      </c>
      <c r="E145" s="36">
        <v>0</v>
      </c>
      <c r="F145" s="36">
        <v>1</v>
      </c>
      <c r="G145" s="6">
        <v>0</v>
      </c>
      <c r="H145" s="37" t="s">
        <v>1572</v>
      </c>
      <c r="I145" s="57"/>
    </row>
    <row r="146" spans="1:9" x14ac:dyDescent="0.15">
      <c r="A146" s="62" t="s">
        <v>176</v>
      </c>
      <c r="B146" s="20" t="s">
        <v>676</v>
      </c>
      <c r="C146" s="6">
        <v>2013</v>
      </c>
      <c r="D146" s="36">
        <v>0</v>
      </c>
      <c r="E146" s="36">
        <v>0</v>
      </c>
      <c r="F146" s="36">
        <v>1</v>
      </c>
      <c r="G146" s="6">
        <v>0</v>
      </c>
      <c r="H146" s="5" t="s">
        <v>1137</v>
      </c>
      <c r="I146" s="57"/>
    </row>
    <row r="147" spans="1:9" x14ac:dyDescent="0.15">
      <c r="A147" s="62" t="s">
        <v>177</v>
      </c>
      <c r="B147" s="20" t="s">
        <v>1307</v>
      </c>
      <c r="C147" s="6">
        <v>2013</v>
      </c>
      <c r="D147" s="36">
        <v>0</v>
      </c>
      <c r="E147" s="36">
        <v>0</v>
      </c>
      <c r="F147" s="36">
        <v>1</v>
      </c>
      <c r="G147" s="6">
        <v>0</v>
      </c>
      <c r="H147" s="5" t="s">
        <v>1137</v>
      </c>
      <c r="I147" s="57"/>
    </row>
    <row r="148" spans="1:9" ht="14" x14ac:dyDescent="0.15">
      <c r="A148" s="62" t="s">
        <v>178</v>
      </c>
      <c r="B148" s="20" t="s">
        <v>678</v>
      </c>
      <c r="C148" s="6">
        <v>1870</v>
      </c>
      <c r="D148" s="6">
        <v>0</v>
      </c>
      <c r="E148" s="6">
        <v>1</v>
      </c>
      <c r="F148" s="6">
        <v>0</v>
      </c>
      <c r="G148" s="6">
        <v>0</v>
      </c>
      <c r="H148" s="5" t="s">
        <v>1173</v>
      </c>
      <c r="I148" s="57"/>
    </row>
    <row r="149" spans="1:9" x14ac:dyDescent="0.15">
      <c r="A149" s="62" t="s">
        <v>179</v>
      </c>
      <c r="B149" s="20" t="s">
        <v>19</v>
      </c>
      <c r="C149" s="6">
        <v>1995</v>
      </c>
      <c r="D149" s="36">
        <v>0</v>
      </c>
      <c r="E149" s="36">
        <v>1</v>
      </c>
      <c r="F149" s="36">
        <v>1</v>
      </c>
      <c r="G149" s="6">
        <v>0</v>
      </c>
      <c r="H149" s="5" t="s">
        <v>1174</v>
      </c>
      <c r="I149" s="57"/>
    </row>
    <row r="150" spans="1:9" x14ac:dyDescent="0.15">
      <c r="A150" s="62" t="s">
        <v>180</v>
      </c>
      <c r="B150" s="20" t="s">
        <v>394</v>
      </c>
      <c r="C150" s="6">
        <v>1999</v>
      </c>
      <c r="D150" s="36">
        <v>1</v>
      </c>
      <c r="E150" s="36">
        <v>0</v>
      </c>
      <c r="F150" s="36">
        <v>1</v>
      </c>
      <c r="G150" s="36">
        <v>0</v>
      </c>
      <c r="H150" s="5" t="s">
        <v>1575</v>
      </c>
      <c r="I150" s="57"/>
    </row>
    <row r="151" spans="1:9" x14ac:dyDescent="0.15">
      <c r="A151" s="62" t="s">
        <v>181</v>
      </c>
      <c r="B151" s="20" t="s">
        <v>395</v>
      </c>
      <c r="C151" s="6">
        <v>1985</v>
      </c>
      <c r="D151" s="36">
        <v>0</v>
      </c>
      <c r="E151" s="36">
        <v>0</v>
      </c>
      <c r="F151" s="36">
        <v>1</v>
      </c>
      <c r="G151" s="6">
        <v>0</v>
      </c>
      <c r="H151" s="5" t="s">
        <v>1137</v>
      </c>
    </row>
    <row r="152" spans="1:9" x14ac:dyDescent="0.15">
      <c r="A152" s="62" t="s">
        <v>182</v>
      </c>
      <c r="B152" s="20" t="s">
        <v>396</v>
      </c>
      <c r="C152" s="6">
        <v>2004</v>
      </c>
      <c r="D152" s="36">
        <v>0</v>
      </c>
      <c r="E152" s="36">
        <v>1</v>
      </c>
      <c r="F152" s="36">
        <v>1</v>
      </c>
      <c r="G152" s="6">
        <v>0</v>
      </c>
      <c r="H152" s="5" t="s">
        <v>1576</v>
      </c>
      <c r="I152" s="57"/>
    </row>
    <row r="153" spans="1:9" x14ac:dyDescent="0.15">
      <c r="A153" s="62" t="s">
        <v>183</v>
      </c>
      <c r="B153" s="20" t="s">
        <v>397</v>
      </c>
      <c r="C153" s="6">
        <v>2000</v>
      </c>
      <c r="D153" s="6">
        <v>0</v>
      </c>
      <c r="E153" s="6">
        <v>0</v>
      </c>
      <c r="F153" s="6">
        <v>0</v>
      </c>
      <c r="G153" s="6">
        <v>1</v>
      </c>
      <c r="H153" s="5" t="s">
        <v>1176</v>
      </c>
      <c r="I153" s="57"/>
    </row>
    <row r="154" spans="1:9" x14ac:dyDescent="0.15">
      <c r="A154" s="62" t="s">
        <v>184</v>
      </c>
      <c r="B154" s="20" t="s">
        <v>398</v>
      </c>
      <c r="C154" s="6">
        <v>1912</v>
      </c>
      <c r="D154" s="6">
        <v>0</v>
      </c>
      <c r="E154" s="6">
        <v>0</v>
      </c>
      <c r="F154" s="6">
        <v>1</v>
      </c>
      <c r="G154" s="6">
        <v>0</v>
      </c>
      <c r="H154" s="5" t="s">
        <v>1137</v>
      </c>
    </row>
    <row r="155" spans="1:9" x14ac:dyDescent="0.15">
      <c r="A155" s="62" t="s">
        <v>185</v>
      </c>
      <c r="B155" s="20" t="s">
        <v>1339</v>
      </c>
      <c r="C155" s="6">
        <v>2016</v>
      </c>
      <c r="D155" s="6">
        <v>1</v>
      </c>
      <c r="E155" s="6">
        <v>0</v>
      </c>
      <c r="F155" s="6">
        <v>1</v>
      </c>
      <c r="G155" s="6">
        <v>0</v>
      </c>
      <c r="H155" s="5" t="s">
        <v>1379</v>
      </c>
      <c r="I155" s="57"/>
    </row>
    <row r="156" spans="1:9" x14ac:dyDescent="0.15">
      <c r="A156" s="62" t="s">
        <v>186</v>
      </c>
      <c r="B156" s="20" t="s">
        <v>399</v>
      </c>
      <c r="C156" s="6">
        <v>2007</v>
      </c>
      <c r="D156" s="6">
        <v>0</v>
      </c>
      <c r="E156" s="6">
        <v>0</v>
      </c>
      <c r="F156" s="6">
        <v>0</v>
      </c>
      <c r="G156" s="6">
        <v>1</v>
      </c>
      <c r="H156" s="5" t="s">
        <v>1137</v>
      </c>
      <c r="I156" s="57"/>
    </row>
    <row r="157" spans="1:9" x14ac:dyDescent="0.15">
      <c r="A157" s="62" t="s">
        <v>187</v>
      </c>
      <c r="B157" s="20" t="s">
        <v>860</v>
      </c>
      <c r="C157" s="6">
        <v>2016</v>
      </c>
      <c r="D157" s="6">
        <v>0</v>
      </c>
      <c r="E157" s="6">
        <v>0</v>
      </c>
      <c r="F157" s="6">
        <v>1</v>
      </c>
      <c r="G157" s="6">
        <v>0</v>
      </c>
      <c r="H157" s="5" t="s">
        <v>1271</v>
      </c>
    </row>
    <row r="158" spans="1:9" x14ac:dyDescent="0.15">
      <c r="A158" s="62" t="s">
        <v>188</v>
      </c>
      <c r="B158" s="20" t="s">
        <v>32</v>
      </c>
      <c r="C158" s="6">
        <v>1965</v>
      </c>
      <c r="D158" s="6">
        <v>1</v>
      </c>
      <c r="E158" s="6">
        <v>0</v>
      </c>
      <c r="F158" s="6">
        <v>0</v>
      </c>
      <c r="G158" s="6">
        <v>0</v>
      </c>
      <c r="H158" s="5" t="s">
        <v>1577</v>
      </c>
      <c r="I158" s="57"/>
    </row>
    <row r="159" spans="1:9" ht="14" x14ac:dyDescent="0.2">
      <c r="A159" s="60" t="s">
        <v>877</v>
      </c>
      <c r="B159" s="22" t="s">
        <v>1309</v>
      </c>
      <c r="C159" s="25" t="s">
        <v>877</v>
      </c>
      <c r="D159" s="25" t="s">
        <v>877</v>
      </c>
      <c r="E159" s="25" t="s">
        <v>877</v>
      </c>
      <c r="F159" s="25" t="s">
        <v>877</v>
      </c>
      <c r="G159" s="25" t="s">
        <v>877</v>
      </c>
      <c r="H159" s="25" t="s">
        <v>877</v>
      </c>
      <c r="I159" s="57"/>
    </row>
    <row r="160" spans="1:9" x14ac:dyDescent="0.15">
      <c r="A160" s="62" t="s">
        <v>189</v>
      </c>
      <c r="B160" s="22" t="s">
        <v>1310</v>
      </c>
      <c r="C160" s="6">
        <v>2017</v>
      </c>
      <c r="D160" s="6">
        <v>0</v>
      </c>
      <c r="E160" s="6">
        <v>0</v>
      </c>
      <c r="F160" s="6">
        <v>0</v>
      </c>
      <c r="G160" s="6">
        <v>1</v>
      </c>
      <c r="H160" s="5" t="s">
        <v>1137</v>
      </c>
      <c r="I160" s="57"/>
    </row>
    <row r="161" spans="1:23" x14ac:dyDescent="0.15">
      <c r="A161" s="62" t="s">
        <v>190</v>
      </c>
      <c r="B161" s="20" t="s">
        <v>400</v>
      </c>
      <c r="C161" s="6">
        <v>1998</v>
      </c>
      <c r="D161" s="6">
        <v>0</v>
      </c>
      <c r="E161" s="6">
        <v>0</v>
      </c>
      <c r="F161" s="6">
        <v>0</v>
      </c>
      <c r="G161" s="6">
        <v>1</v>
      </c>
      <c r="H161" s="5" t="s">
        <v>1177</v>
      </c>
      <c r="I161" s="57"/>
    </row>
    <row r="162" spans="1:23" x14ac:dyDescent="0.15">
      <c r="A162" s="62" t="s">
        <v>191</v>
      </c>
      <c r="B162" s="20" t="s">
        <v>401</v>
      </c>
      <c r="C162" s="6">
        <v>1964</v>
      </c>
      <c r="D162" s="36">
        <v>1</v>
      </c>
      <c r="E162" s="36">
        <v>0</v>
      </c>
      <c r="F162" s="36">
        <v>0</v>
      </c>
      <c r="G162" s="6">
        <v>0</v>
      </c>
      <c r="H162" s="5" t="s">
        <v>1578</v>
      </c>
      <c r="I162" s="57"/>
    </row>
    <row r="163" spans="1:23" x14ac:dyDescent="0.15">
      <c r="A163" s="62" t="s">
        <v>192</v>
      </c>
      <c r="B163" s="20" t="s">
        <v>402</v>
      </c>
      <c r="C163" s="6">
        <v>1914</v>
      </c>
      <c r="D163" s="6">
        <v>1</v>
      </c>
      <c r="E163" s="6">
        <v>0</v>
      </c>
      <c r="F163" s="6">
        <v>0</v>
      </c>
      <c r="G163" s="6">
        <v>0</v>
      </c>
      <c r="H163" s="5" t="s">
        <v>1579</v>
      </c>
      <c r="I163" s="57"/>
    </row>
    <row r="164" spans="1:23" x14ac:dyDescent="0.15">
      <c r="A164" s="62" t="s">
        <v>193</v>
      </c>
      <c r="B164" s="20" t="s">
        <v>1312</v>
      </c>
      <c r="C164" s="6">
        <v>2002</v>
      </c>
      <c r="D164" s="36">
        <v>0</v>
      </c>
      <c r="E164" s="36">
        <v>0</v>
      </c>
      <c r="F164" s="36">
        <v>1</v>
      </c>
      <c r="G164" s="6">
        <v>0</v>
      </c>
      <c r="H164" s="5" t="s">
        <v>1137</v>
      </c>
      <c r="I164" s="57"/>
    </row>
    <row r="165" spans="1:23" x14ac:dyDescent="0.15">
      <c r="A165" s="62" t="s">
        <v>194</v>
      </c>
      <c r="B165" s="20" t="s">
        <v>1313</v>
      </c>
      <c r="C165" s="6">
        <v>1986</v>
      </c>
      <c r="D165" s="6">
        <v>0</v>
      </c>
      <c r="E165" s="6">
        <v>0</v>
      </c>
      <c r="F165" s="6">
        <v>0</v>
      </c>
      <c r="G165" s="6">
        <v>1</v>
      </c>
      <c r="H165" s="5" t="s">
        <v>1137</v>
      </c>
      <c r="I165" s="57"/>
    </row>
    <row r="166" spans="1:23" x14ac:dyDescent="0.15">
      <c r="A166" s="62" t="s">
        <v>195</v>
      </c>
      <c r="B166" s="20" t="s">
        <v>33</v>
      </c>
      <c r="C166" s="6">
        <v>1980</v>
      </c>
      <c r="D166" s="6">
        <v>0</v>
      </c>
      <c r="E166" s="6">
        <v>0</v>
      </c>
      <c r="F166" s="6">
        <v>1</v>
      </c>
      <c r="G166" s="6">
        <v>0</v>
      </c>
      <c r="H166" s="5" t="s">
        <v>1137</v>
      </c>
      <c r="I166" s="57"/>
    </row>
    <row r="167" spans="1:23" x14ac:dyDescent="0.15">
      <c r="A167" s="62" t="s">
        <v>196</v>
      </c>
      <c r="B167" s="20" t="s">
        <v>403</v>
      </c>
      <c r="C167" s="6">
        <v>1961</v>
      </c>
      <c r="D167" s="6">
        <v>1</v>
      </c>
      <c r="E167" s="6">
        <v>0</v>
      </c>
      <c r="F167" s="6">
        <v>0</v>
      </c>
      <c r="G167" s="6">
        <v>0</v>
      </c>
      <c r="H167" s="5" t="s">
        <v>1272</v>
      </c>
      <c r="I167" s="57"/>
    </row>
    <row r="168" spans="1:23" s="17" customFormat="1" x14ac:dyDescent="0.15">
      <c r="A168" s="62" t="s">
        <v>197</v>
      </c>
      <c r="B168" s="20" t="s">
        <v>404</v>
      </c>
      <c r="C168" s="6">
        <v>1961</v>
      </c>
      <c r="D168" s="6">
        <v>0</v>
      </c>
      <c r="E168" s="6">
        <v>0</v>
      </c>
      <c r="F168" s="6">
        <v>0</v>
      </c>
      <c r="G168" s="6">
        <v>1</v>
      </c>
      <c r="H168" s="5" t="s">
        <v>1137</v>
      </c>
      <c r="I168" s="57"/>
      <c r="J168" s="3"/>
      <c r="K168" s="3"/>
      <c r="L168" s="3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</row>
    <row r="169" spans="1:23" x14ac:dyDescent="0.15">
      <c r="A169" s="62" t="s">
        <v>198</v>
      </c>
      <c r="B169" s="20" t="s">
        <v>405</v>
      </c>
      <c r="C169" s="6">
        <v>2013</v>
      </c>
      <c r="D169" s="6">
        <v>0</v>
      </c>
      <c r="E169" s="6">
        <v>0</v>
      </c>
      <c r="F169" s="6">
        <v>1</v>
      </c>
      <c r="G169" s="6">
        <v>0</v>
      </c>
      <c r="H169" s="5" t="s">
        <v>1137</v>
      </c>
      <c r="I169" s="57"/>
    </row>
    <row r="170" spans="1:23" x14ac:dyDescent="0.15">
      <c r="A170" s="62" t="s">
        <v>199</v>
      </c>
      <c r="B170" s="20" t="s">
        <v>406</v>
      </c>
      <c r="C170" s="6">
        <v>1961</v>
      </c>
      <c r="D170" s="6">
        <v>1</v>
      </c>
      <c r="E170" s="6">
        <v>0</v>
      </c>
      <c r="F170" s="6">
        <v>1</v>
      </c>
      <c r="G170" s="6">
        <v>0</v>
      </c>
      <c r="H170" s="5" t="s">
        <v>1581</v>
      </c>
      <c r="I170" s="57"/>
    </row>
    <row r="171" spans="1:23" x14ac:dyDescent="0.15">
      <c r="A171" s="62" t="s">
        <v>200</v>
      </c>
      <c r="B171" s="20" t="s">
        <v>1183</v>
      </c>
      <c r="C171" s="6">
        <v>2017</v>
      </c>
      <c r="D171" s="36">
        <v>0</v>
      </c>
      <c r="E171" s="36">
        <v>0</v>
      </c>
      <c r="F171" s="36">
        <v>0</v>
      </c>
      <c r="G171" s="6">
        <v>1</v>
      </c>
      <c r="H171" s="5" t="s">
        <v>1137</v>
      </c>
    </row>
    <row r="172" spans="1:23" x14ac:dyDescent="0.15">
      <c r="A172" s="62" t="s">
        <v>201</v>
      </c>
      <c r="B172" s="20" t="s">
        <v>1314</v>
      </c>
      <c r="C172" s="6">
        <v>1887</v>
      </c>
      <c r="D172" s="36">
        <v>0</v>
      </c>
      <c r="E172" s="36">
        <v>1</v>
      </c>
      <c r="F172" s="36">
        <v>1</v>
      </c>
      <c r="G172" s="6">
        <v>0</v>
      </c>
      <c r="H172" s="5" t="s">
        <v>1620</v>
      </c>
      <c r="I172" s="57"/>
    </row>
    <row r="173" spans="1:23" x14ac:dyDescent="0.15">
      <c r="A173" s="62" t="s">
        <v>202</v>
      </c>
      <c r="B173" s="20" t="s">
        <v>407</v>
      </c>
      <c r="C173" s="6">
        <v>2007</v>
      </c>
      <c r="D173" s="36">
        <v>0</v>
      </c>
      <c r="E173" s="36">
        <v>0</v>
      </c>
      <c r="F173" s="36">
        <v>1</v>
      </c>
      <c r="G173" s="6">
        <v>0</v>
      </c>
      <c r="H173" s="5" t="s">
        <v>1137</v>
      </c>
      <c r="I173" s="57"/>
    </row>
    <row r="174" spans="1:23" x14ac:dyDescent="0.15">
      <c r="A174" s="62" t="s">
        <v>203</v>
      </c>
      <c r="B174" s="20" t="s">
        <v>930</v>
      </c>
      <c r="C174" s="6">
        <v>2017</v>
      </c>
      <c r="D174" s="36">
        <v>0</v>
      </c>
      <c r="E174" s="36">
        <v>0</v>
      </c>
      <c r="F174" s="36">
        <v>0</v>
      </c>
      <c r="G174" s="6">
        <v>1</v>
      </c>
      <c r="H174" s="5" t="s">
        <v>1137</v>
      </c>
      <c r="I174" s="57"/>
    </row>
    <row r="175" spans="1:23" x14ac:dyDescent="0.15">
      <c r="A175" s="62" t="s">
        <v>204</v>
      </c>
      <c r="B175" s="20" t="s">
        <v>1315</v>
      </c>
      <c r="C175" s="6">
        <v>1980</v>
      </c>
      <c r="D175" s="36">
        <v>0</v>
      </c>
      <c r="E175" s="36">
        <v>0</v>
      </c>
      <c r="F175" s="36">
        <v>1</v>
      </c>
      <c r="G175" s="6">
        <v>0</v>
      </c>
      <c r="H175" s="5" t="s">
        <v>1170</v>
      </c>
      <c r="I175" s="57"/>
    </row>
    <row r="176" spans="1:23" x14ac:dyDescent="0.15">
      <c r="A176" s="62" t="s">
        <v>205</v>
      </c>
      <c r="B176" s="20" t="s">
        <v>408</v>
      </c>
      <c r="C176" s="6">
        <v>1998</v>
      </c>
      <c r="D176" s="36">
        <v>1</v>
      </c>
      <c r="E176" s="36">
        <v>0</v>
      </c>
      <c r="F176" s="36">
        <v>1</v>
      </c>
      <c r="G176" s="6">
        <v>0</v>
      </c>
      <c r="H176" s="5" t="s">
        <v>1584</v>
      </c>
      <c r="I176" s="57"/>
    </row>
    <row r="177" spans="1:9" x14ac:dyDescent="0.15">
      <c r="A177" s="62" t="s">
        <v>206</v>
      </c>
      <c r="B177" s="20" t="s">
        <v>18</v>
      </c>
      <c r="C177" s="6">
        <v>1986</v>
      </c>
      <c r="D177" s="36">
        <v>1</v>
      </c>
      <c r="E177" s="36">
        <v>0</v>
      </c>
      <c r="F177" s="36">
        <v>1</v>
      </c>
      <c r="G177" s="6">
        <v>0</v>
      </c>
      <c r="H177" s="5" t="s">
        <v>1585</v>
      </c>
      <c r="I177" s="57"/>
    </row>
    <row r="178" spans="1:9" x14ac:dyDescent="0.15">
      <c r="A178" s="62" t="s">
        <v>207</v>
      </c>
      <c r="B178" s="20" t="s">
        <v>409</v>
      </c>
      <c r="C178" s="6">
        <v>1969</v>
      </c>
      <c r="D178" s="36">
        <v>0</v>
      </c>
      <c r="E178" s="36">
        <v>1</v>
      </c>
      <c r="F178" s="36">
        <v>0</v>
      </c>
      <c r="G178" s="6">
        <v>0</v>
      </c>
      <c r="H178" s="5" t="s">
        <v>1273</v>
      </c>
      <c r="I178" s="57"/>
    </row>
    <row r="179" spans="1:9" x14ac:dyDescent="0.15">
      <c r="A179" s="62" t="s">
        <v>208</v>
      </c>
      <c r="B179" s="20" t="s">
        <v>410</v>
      </c>
      <c r="C179" s="6">
        <v>2001</v>
      </c>
      <c r="D179" s="6">
        <v>0</v>
      </c>
      <c r="E179" s="6">
        <v>0</v>
      </c>
      <c r="F179" s="6">
        <v>1</v>
      </c>
      <c r="G179" s="6">
        <v>0</v>
      </c>
      <c r="H179" s="5" t="s">
        <v>1137</v>
      </c>
      <c r="I179" s="57"/>
    </row>
    <row r="180" spans="1:9" x14ac:dyDescent="0.15">
      <c r="A180" s="62" t="s">
        <v>209</v>
      </c>
      <c r="B180" s="20" t="s">
        <v>411</v>
      </c>
      <c r="C180" s="6">
        <v>1960</v>
      </c>
      <c r="D180" s="36">
        <v>0</v>
      </c>
      <c r="E180" s="36">
        <v>1</v>
      </c>
      <c r="F180" s="36">
        <v>1</v>
      </c>
      <c r="G180" s="6">
        <v>0</v>
      </c>
      <c r="H180" s="5" t="s">
        <v>1274</v>
      </c>
      <c r="I180" s="57"/>
    </row>
    <row r="181" spans="1:9" x14ac:dyDescent="0.15">
      <c r="A181" s="62" t="s">
        <v>210</v>
      </c>
      <c r="B181" s="20" t="s">
        <v>412</v>
      </c>
      <c r="C181" s="6">
        <v>2012</v>
      </c>
      <c r="D181" s="36">
        <v>0</v>
      </c>
      <c r="E181" s="36">
        <v>0</v>
      </c>
      <c r="F181" s="36">
        <v>1</v>
      </c>
      <c r="G181" s="6">
        <v>0</v>
      </c>
      <c r="H181" s="5" t="s">
        <v>1162</v>
      </c>
      <c r="I181" s="57"/>
    </row>
    <row r="182" spans="1:9" x14ac:dyDescent="0.15">
      <c r="A182" s="62" t="s">
        <v>211</v>
      </c>
      <c r="B182" s="20" t="s">
        <v>413</v>
      </c>
      <c r="C182" s="6">
        <v>2013</v>
      </c>
      <c r="D182" s="36">
        <v>1</v>
      </c>
      <c r="E182" s="36">
        <v>0</v>
      </c>
      <c r="F182" s="36">
        <v>1</v>
      </c>
      <c r="G182" s="6">
        <v>0</v>
      </c>
      <c r="H182" s="5" t="s">
        <v>1186</v>
      </c>
      <c r="I182" s="57"/>
    </row>
    <row r="183" spans="1:9" x14ac:dyDescent="0.15">
      <c r="A183" s="62" t="s">
        <v>212</v>
      </c>
      <c r="B183" s="20" t="s">
        <v>820</v>
      </c>
      <c r="C183" s="6">
        <v>2017</v>
      </c>
      <c r="D183" s="36">
        <v>0</v>
      </c>
      <c r="E183" s="36">
        <v>0</v>
      </c>
      <c r="F183" s="36">
        <v>1</v>
      </c>
      <c r="G183" s="6">
        <v>0</v>
      </c>
      <c r="H183" s="5" t="s">
        <v>1162</v>
      </c>
      <c r="I183" s="57"/>
    </row>
    <row r="184" spans="1:9" x14ac:dyDescent="0.15">
      <c r="A184" s="62" t="s">
        <v>213</v>
      </c>
      <c r="B184" s="23" t="s">
        <v>1316</v>
      </c>
      <c r="C184" s="6">
        <v>2015</v>
      </c>
      <c r="D184" s="36">
        <v>1</v>
      </c>
      <c r="E184" s="36">
        <v>0</v>
      </c>
      <c r="F184" s="36">
        <v>1</v>
      </c>
      <c r="G184" s="6">
        <v>0</v>
      </c>
      <c r="H184" s="5" t="s">
        <v>1380</v>
      </c>
      <c r="I184" s="57"/>
    </row>
    <row r="185" spans="1:9" x14ac:dyDescent="0.15">
      <c r="A185" s="62" t="s">
        <v>214</v>
      </c>
      <c r="B185" s="23" t="s">
        <v>823</v>
      </c>
      <c r="C185" s="6">
        <v>2005</v>
      </c>
      <c r="D185" s="36">
        <v>0</v>
      </c>
      <c r="E185" s="36">
        <v>0</v>
      </c>
      <c r="F185" s="36">
        <v>1</v>
      </c>
      <c r="G185" s="6">
        <v>0</v>
      </c>
      <c r="H185" s="5" t="s">
        <v>1162</v>
      </c>
      <c r="I185" s="57"/>
    </row>
    <row r="186" spans="1:9" x14ac:dyDescent="0.15">
      <c r="A186" s="62" t="s">
        <v>215</v>
      </c>
      <c r="B186" s="20" t="s">
        <v>414</v>
      </c>
      <c r="C186" s="6">
        <v>2013</v>
      </c>
      <c r="D186" s="36">
        <v>0</v>
      </c>
      <c r="E186" s="36">
        <v>0</v>
      </c>
      <c r="F186" s="36">
        <v>1</v>
      </c>
      <c r="G186" s="6">
        <v>0</v>
      </c>
      <c r="H186" s="5" t="s">
        <v>1162</v>
      </c>
      <c r="I186" s="57"/>
    </row>
    <row r="187" spans="1:9" x14ac:dyDescent="0.15">
      <c r="A187" s="62" t="s">
        <v>216</v>
      </c>
      <c r="B187" s="20" t="s">
        <v>415</v>
      </c>
      <c r="C187" s="6">
        <v>2001</v>
      </c>
      <c r="D187" s="36">
        <v>0</v>
      </c>
      <c r="E187" s="36">
        <v>0</v>
      </c>
      <c r="F187" s="36">
        <v>1</v>
      </c>
      <c r="G187" s="36">
        <v>0</v>
      </c>
      <c r="H187" s="5" t="s">
        <v>1162</v>
      </c>
      <c r="I187" s="57"/>
    </row>
    <row r="188" spans="1:9" x14ac:dyDescent="0.15">
      <c r="A188" s="62" t="s">
        <v>217</v>
      </c>
      <c r="B188" s="20" t="s">
        <v>1203</v>
      </c>
      <c r="C188" s="6">
        <v>1984</v>
      </c>
      <c r="D188" s="6">
        <v>0</v>
      </c>
      <c r="E188" s="6">
        <v>0</v>
      </c>
      <c r="F188" s="6">
        <v>0</v>
      </c>
      <c r="G188" s="6">
        <v>1</v>
      </c>
      <c r="H188" s="5" t="s">
        <v>1586</v>
      </c>
      <c r="I188" s="57"/>
    </row>
    <row r="189" spans="1:9" x14ac:dyDescent="0.15">
      <c r="A189" s="62" t="s">
        <v>218</v>
      </c>
      <c r="B189" s="20" t="s">
        <v>8</v>
      </c>
      <c r="C189" s="6">
        <v>1957</v>
      </c>
      <c r="D189" s="6">
        <v>0</v>
      </c>
      <c r="E189" s="6">
        <v>1</v>
      </c>
      <c r="F189" s="6">
        <v>0</v>
      </c>
      <c r="G189" s="6">
        <v>0</v>
      </c>
      <c r="H189" s="5" t="s">
        <v>1587</v>
      </c>
      <c r="I189" s="57"/>
    </row>
    <row r="190" spans="1:9" ht="14" x14ac:dyDescent="0.2">
      <c r="A190" s="62" t="s">
        <v>219</v>
      </c>
      <c r="B190" s="20" t="s">
        <v>416</v>
      </c>
      <c r="C190" s="6">
        <v>1998</v>
      </c>
      <c r="D190" s="36">
        <v>1</v>
      </c>
      <c r="E190" s="36">
        <v>0</v>
      </c>
      <c r="F190" s="36">
        <v>0</v>
      </c>
      <c r="G190" s="6">
        <v>0</v>
      </c>
      <c r="H190" s="5" t="s">
        <v>1195</v>
      </c>
      <c r="I190" s="57"/>
    </row>
    <row r="191" spans="1:9" x14ac:dyDescent="0.15">
      <c r="A191" s="62" t="s">
        <v>220</v>
      </c>
      <c r="B191" s="20" t="s">
        <v>417</v>
      </c>
      <c r="C191" s="6">
        <v>2004</v>
      </c>
      <c r="D191" s="36">
        <v>1</v>
      </c>
      <c r="E191" s="36">
        <v>0</v>
      </c>
      <c r="F191" s="36">
        <v>1</v>
      </c>
      <c r="G191" s="36">
        <v>0</v>
      </c>
      <c r="H191" s="5" t="s">
        <v>1613</v>
      </c>
      <c r="I191" s="57"/>
    </row>
    <row r="192" spans="1:9" x14ac:dyDescent="0.15">
      <c r="A192" s="62" t="s">
        <v>221</v>
      </c>
      <c r="B192" s="20" t="s">
        <v>418</v>
      </c>
      <c r="C192" s="6">
        <v>1996</v>
      </c>
      <c r="D192" s="6">
        <v>0</v>
      </c>
      <c r="E192" s="6">
        <v>0</v>
      </c>
      <c r="F192" s="6">
        <v>0</v>
      </c>
      <c r="G192" s="6">
        <v>1</v>
      </c>
      <c r="H192" s="5" t="s">
        <v>1137</v>
      </c>
      <c r="I192" s="57"/>
    </row>
    <row r="193" spans="1:9" x14ac:dyDescent="0.15">
      <c r="A193" s="62" t="s">
        <v>222</v>
      </c>
      <c r="B193" s="20" t="s">
        <v>419</v>
      </c>
      <c r="C193" s="6">
        <v>1961</v>
      </c>
      <c r="D193" s="6">
        <v>0</v>
      </c>
      <c r="E193" s="6">
        <v>0</v>
      </c>
      <c r="F193" s="6">
        <v>0</v>
      </c>
      <c r="G193" s="6">
        <v>1</v>
      </c>
      <c r="H193" s="5" t="s">
        <v>1137</v>
      </c>
      <c r="I193" s="57"/>
    </row>
    <row r="194" spans="1:9" x14ac:dyDescent="0.15">
      <c r="A194" s="62" t="s">
        <v>223</v>
      </c>
      <c r="B194" s="20" t="s">
        <v>1318</v>
      </c>
      <c r="C194" s="6">
        <v>1993</v>
      </c>
      <c r="D194" s="6">
        <v>0</v>
      </c>
      <c r="E194" s="6">
        <v>1</v>
      </c>
      <c r="F194" s="6">
        <v>0</v>
      </c>
      <c r="G194" s="6">
        <v>0</v>
      </c>
      <c r="H194" s="5" t="s">
        <v>1187</v>
      </c>
      <c r="I194" s="57"/>
    </row>
    <row r="195" spans="1:9" x14ac:dyDescent="0.15">
      <c r="A195" s="62" t="s">
        <v>224</v>
      </c>
      <c r="B195" s="20" t="s">
        <v>916</v>
      </c>
      <c r="C195" s="6">
        <v>2015</v>
      </c>
      <c r="D195" s="6">
        <v>0</v>
      </c>
      <c r="E195" s="6">
        <v>0</v>
      </c>
      <c r="F195" s="6">
        <v>0</v>
      </c>
      <c r="G195" s="6">
        <v>1</v>
      </c>
      <c r="H195" s="5" t="s">
        <v>1137</v>
      </c>
      <c r="I195" s="57"/>
    </row>
    <row r="196" spans="1:9" x14ac:dyDescent="0.15">
      <c r="A196" s="62" t="s">
        <v>225</v>
      </c>
      <c r="B196" s="20" t="s">
        <v>1319</v>
      </c>
      <c r="C196" s="6">
        <v>2003</v>
      </c>
      <c r="D196" s="6">
        <v>1</v>
      </c>
      <c r="E196" s="6">
        <v>0</v>
      </c>
      <c r="F196" s="6">
        <v>1</v>
      </c>
      <c r="G196" s="6">
        <v>0</v>
      </c>
      <c r="H196" s="5" t="s">
        <v>1588</v>
      </c>
      <c r="I196" s="57"/>
    </row>
    <row r="197" spans="1:9" x14ac:dyDescent="0.15">
      <c r="A197" s="62" t="s">
        <v>226</v>
      </c>
      <c r="B197" s="20" t="s">
        <v>1320</v>
      </c>
      <c r="C197" s="6">
        <v>2010</v>
      </c>
      <c r="D197" s="6">
        <v>0</v>
      </c>
      <c r="E197" s="6">
        <v>0</v>
      </c>
      <c r="F197" s="6">
        <v>1</v>
      </c>
      <c r="G197" s="6">
        <v>0</v>
      </c>
      <c r="H197" s="5" t="s">
        <v>1140</v>
      </c>
      <c r="I197" s="57"/>
    </row>
    <row r="198" spans="1:9" x14ac:dyDescent="0.15">
      <c r="A198" s="62" t="s">
        <v>227</v>
      </c>
      <c r="B198" s="20" t="s">
        <v>1321</v>
      </c>
      <c r="C198" s="6">
        <v>2006</v>
      </c>
      <c r="D198" s="6">
        <v>0</v>
      </c>
      <c r="E198" s="6">
        <v>0</v>
      </c>
      <c r="F198" s="6">
        <v>0</v>
      </c>
      <c r="G198" s="6">
        <v>1</v>
      </c>
      <c r="H198" s="5" t="s">
        <v>1137</v>
      </c>
      <c r="I198" s="57"/>
    </row>
    <row r="199" spans="1:9" x14ac:dyDescent="0.15">
      <c r="A199" s="62" t="s">
        <v>228</v>
      </c>
      <c r="B199" s="20" t="s">
        <v>420</v>
      </c>
      <c r="C199" s="6">
        <v>1891</v>
      </c>
      <c r="D199" s="36">
        <v>0</v>
      </c>
      <c r="E199" s="36">
        <v>1</v>
      </c>
      <c r="F199" s="36">
        <v>1</v>
      </c>
      <c r="G199" s="6">
        <v>0</v>
      </c>
      <c r="H199" s="5" t="s">
        <v>1275</v>
      </c>
      <c r="I199" s="57"/>
    </row>
    <row r="200" spans="1:9" x14ac:dyDescent="0.15">
      <c r="A200" s="62" t="s">
        <v>229</v>
      </c>
      <c r="B200" s="20" t="s">
        <v>421</v>
      </c>
      <c r="C200" s="6">
        <v>1884</v>
      </c>
      <c r="D200" s="6">
        <v>0</v>
      </c>
      <c r="E200" s="6">
        <v>1</v>
      </c>
      <c r="F200" s="6">
        <v>0</v>
      </c>
      <c r="G200" s="6">
        <v>0</v>
      </c>
      <c r="H200" s="5" t="s">
        <v>1295</v>
      </c>
      <c r="I200" s="57"/>
    </row>
    <row r="201" spans="1:9" x14ac:dyDescent="0.15">
      <c r="A201" s="62" t="s">
        <v>230</v>
      </c>
      <c r="B201" s="23" t="s">
        <v>817</v>
      </c>
      <c r="C201" s="6">
        <v>2009</v>
      </c>
      <c r="D201" s="6">
        <v>0</v>
      </c>
      <c r="E201" s="6">
        <v>0</v>
      </c>
      <c r="F201" s="6">
        <v>1</v>
      </c>
      <c r="G201" s="6">
        <v>0</v>
      </c>
      <c r="H201" s="5" t="s">
        <v>1137</v>
      </c>
      <c r="I201" s="57"/>
    </row>
    <row r="202" spans="1:9" x14ac:dyDescent="0.15">
      <c r="A202" s="62" t="s">
        <v>231</v>
      </c>
      <c r="B202" s="18" t="s">
        <v>11</v>
      </c>
      <c r="C202" s="6">
        <v>1993</v>
      </c>
      <c r="D202" s="6">
        <v>0</v>
      </c>
      <c r="E202" s="6">
        <v>0</v>
      </c>
      <c r="F202" s="6">
        <v>1</v>
      </c>
      <c r="G202" s="6">
        <v>0</v>
      </c>
      <c r="H202" s="5" t="s">
        <v>1137</v>
      </c>
      <c r="I202" s="57"/>
    </row>
    <row r="203" spans="1:9" x14ac:dyDescent="0.15">
      <c r="A203" s="62" t="s">
        <v>232</v>
      </c>
      <c r="B203" s="20" t="s">
        <v>422</v>
      </c>
      <c r="C203" s="6">
        <v>1987</v>
      </c>
      <c r="D203" s="36">
        <v>0</v>
      </c>
      <c r="E203" s="36">
        <v>0</v>
      </c>
      <c r="F203" s="36">
        <v>1</v>
      </c>
      <c r="G203" s="6">
        <v>0</v>
      </c>
      <c r="H203" s="5" t="s">
        <v>1137</v>
      </c>
      <c r="I203" s="57"/>
    </row>
    <row r="204" spans="1:9" x14ac:dyDescent="0.15">
      <c r="A204" s="62" t="s">
        <v>233</v>
      </c>
      <c r="B204" s="20" t="s">
        <v>27</v>
      </c>
      <c r="C204" s="6">
        <v>1979</v>
      </c>
      <c r="D204" s="6">
        <v>0</v>
      </c>
      <c r="E204" s="6">
        <v>0</v>
      </c>
      <c r="F204" s="6">
        <v>1</v>
      </c>
      <c r="G204" s="6">
        <v>0</v>
      </c>
      <c r="H204" s="5" t="s">
        <v>1137</v>
      </c>
      <c r="I204" s="57"/>
    </row>
    <row r="205" spans="1:9" x14ac:dyDescent="0.15">
      <c r="A205" s="62" t="s">
        <v>234</v>
      </c>
      <c r="B205" s="20" t="s">
        <v>423</v>
      </c>
      <c r="C205" s="6">
        <v>1956</v>
      </c>
      <c r="D205" s="6">
        <v>0</v>
      </c>
      <c r="E205" s="6">
        <v>0</v>
      </c>
      <c r="F205" s="6">
        <v>0</v>
      </c>
      <c r="G205" s="6">
        <v>1</v>
      </c>
      <c r="H205" s="5" t="s">
        <v>1137</v>
      </c>
      <c r="I205" s="57"/>
    </row>
    <row r="206" spans="1:9" x14ac:dyDescent="0.15">
      <c r="A206" s="62" t="s">
        <v>235</v>
      </c>
      <c r="B206" s="20" t="s">
        <v>882</v>
      </c>
      <c r="C206" s="6">
        <v>1873</v>
      </c>
      <c r="D206" s="6">
        <v>0</v>
      </c>
      <c r="E206" s="6">
        <v>1</v>
      </c>
      <c r="F206" s="6">
        <v>0</v>
      </c>
      <c r="G206" s="6">
        <v>0</v>
      </c>
      <c r="H206" s="5" t="s">
        <v>1276</v>
      </c>
    </row>
    <row r="207" spans="1:9" x14ac:dyDescent="0.15">
      <c r="A207" s="62" t="s">
        <v>236</v>
      </c>
      <c r="B207" s="20" t="s">
        <v>424</v>
      </c>
      <c r="C207" s="6">
        <v>1993</v>
      </c>
      <c r="D207" s="36">
        <v>0</v>
      </c>
      <c r="E207" s="36">
        <v>0</v>
      </c>
      <c r="F207" s="36">
        <v>0</v>
      </c>
      <c r="G207" s="6">
        <v>1</v>
      </c>
      <c r="H207" s="5" t="s">
        <v>1137</v>
      </c>
      <c r="I207" s="57"/>
    </row>
    <row r="208" spans="1:9" x14ac:dyDescent="0.15">
      <c r="A208" s="62" t="s">
        <v>237</v>
      </c>
      <c r="B208" s="20" t="s">
        <v>7</v>
      </c>
      <c r="C208" s="6">
        <v>1886</v>
      </c>
      <c r="D208" s="6">
        <v>0</v>
      </c>
      <c r="E208" s="6">
        <v>1</v>
      </c>
      <c r="F208" s="6">
        <v>1</v>
      </c>
      <c r="G208" s="6">
        <v>0</v>
      </c>
      <c r="H208" s="5" t="s">
        <v>1277</v>
      </c>
      <c r="I208" s="57"/>
    </row>
    <row r="209" spans="1:9" x14ac:dyDescent="0.15">
      <c r="A209" s="62" t="s">
        <v>238</v>
      </c>
      <c r="B209" s="20" t="s">
        <v>425</v>
      </c>
      <c r="C209" s="6">
        <v>1929</v>
      </c>
      <c r="D209" s="6">
        <v>1</v>
      </c>
      <c r="E209" s="6">
        <v>0</v>
      </c>
      <c r="F209" s="6">
        <v>0</v>
      </c>
      <c r="G209" s="6">
        <v>0</v>
      </c>
      <c r="H209" s="5" t="s">
        <v>1589</v>
      </c>
    </row>
    <row r="210" spans="1:9" x14ac:dyDescent="0.15">
      <c r="A210" s="62" t="s">
        <v>239</v>
      </c>
      <c r="B210" s="20" t="s">
        <v>1322</v>
      </c>
      <c r="C210" s="6">
        <v>2008</v>
      </c>
      <c r="D210" s="36">
        <v>0</v>
      </c>
      <c r="E210" s="36">
        <v>0</v>
      </c>
      <c r="F210" s="36">
        <v>1</v>
      </c>
      <c r="G210" s="6">
        <v>0</v>
      </c>
      <c r="H210" s="5" t="s">
        <v>1137</v>
      </c>
    </row>
    <row r="211" spans="1:9" x14ac:dyDescent="0.15">
      <c r="A211" s="62" t="s">
        <v>240</v>
      </c>
      <c r="B211" s="20" t="s">
        <v>426</v>
      </c>
      <c r="C211" s="6">
        <v>1998</v>
      </c>
      <c r="D211" s="36">
        <v>1</v>
      </c>
      <c r="E211" s="36">
        <v>0</v>
      </c>
      <c r="F211" s="36">
        <v>1</v>
      </c>
      <c r="G211" s="6">
        <v>0</v>
      </c>
      <c r="H211" s="5" t="s">
        <v>1590</v>
      </c>
    </row>
    <row r="212" spans="1:9" x14ac:dyDescent="0.15">
      <c r="A212" s="62" t="s">
        <v>241</v>
      </c>
      <c r="B212" s="20" t="s">
        <v>427</v>
      </c>
      <c r="C212" s="6">
        <v>1993</v>
      </c>
      <c r="D212" s="6">
        <v>0</v>
      </c>
      <c r="E212" s="6">
        <v>0</v>
      </c>
      <c r="F212" s="6">
        <v>0</v>
      </c>
      <c r="G212" s="6">
        <v>1</v>
      </c>
      <c r="H212" s="5" t="s">
        <v>1137</v>
      </c>
      <c r="I212" s="57"/>
    </row>
    <row r="213" spans="1:9" x14ac:dyDescent="0.15">
      <c r="A213" s="62" t="s">
        <v>242</v>
      </c>
      <c r="B213" s="20" t="s">
        <v>428</v>
      </c>
      <c r="C213" s="6">
        <v>2014</v>
      </c>
      <c r="D213" s="6">
        <v>1</v>
      </c>
      <c r="E213" s="6">
        <v>0</v>
      </c>
      <c r="F213" s="6">
        <v>0</v>
      </c>
      <c r="G213" s="6">
        <v>0</v>
      </c>
      <c r="H213" s="5" t="s">
        <v>1141</v>
      </c>
      <c r="I213" s="57"/>
    </row>
    <row r="214" spans="1:9" x14ac:dyDescent="0.15">
      <c r="A214" s="62" t="s">
        <v>243</v>
      </c>
      <c r="B214" s="20" t="s">
        <v>1323</v>
      </c>
      <c r="C214" s="6">
        <v>2008</v>
      </c>
      <c r="D214" s="6">
        <v>1</v>
      </c>
      <c r="E214" s="6">
        <v>0</v>
      </c>
      <c r="F214" s="6">
        <v>0</v>
      </c>
      <c r="G214" s="6">
        <v>0</v>
      </c>
      <c r="H214" s="5" t="s">
        <v>1278</v>
      </c>
    </row>
    <row r="215" spans="1:9" x14ac:dyDescent="0.15">
      <c r="A215" s="62" t="s">
        <v>244</v>
      </c>
      <c r="B215" s="20" t="s">
        <v>1324</v>
      </c>
      <c r="C215" s="6">
        <v>2008</v>
      </c>
      <c r="D215" s="6">
        <v>1</v>
      </c>
      <c r="E215" s="6">
        <v>0</v>
      </c>
      <c r="F215" s="6">
        <v>1</v>
      </c>
      <c r="G215" s="6">
        <v>0</v>
      </c>
      <c r="H215" s="5" t="s">
        <v>1278</v>
      </c>
    </row>
    <row r="216" spans="1:9" x14ac:dyDescent="0.15">
      <c r="A216" s="62" t="s">
        <v>245</v>
      </c>
      <c r="B216" s="20" t="s">
        <v>429</v>
      </c>
      <c r="C216" s="6">
        <v>1955</v>
      </c>
      <c r="D216" s="36">
        <v>0</v>
      </c>
      <c r="E216" s="36">
        <v>1</v>
      </c>
      <c r="F216" s="36">
        <v>1</v>
      </c>
      <c r="G216" s="6">
        <v>0</v>
      </c>
      <c r="H216" s="5" t="s">
        <v>1279</v>
      </c>
    </row>
    <row r="217" spans="1:9" x14ac:dyDescent="0.15">
      <c r="A217" s="62" t="s">
        <v>246</v>
      </c>
      <c r="B217" s="20" t="s">
        <v>430</v>
      </c>
      <c r="C217" s="6">
        <v>1834</v>
      </c>
      <c r="D217" s="6">
        <v>0</v>
      </c>
      <c r="E217" s="6">
        <v>0</v>
      </c>
      <c r="F217" s="6">
        <v>1</v>
      </c>
      <c r="G217" s="6">
        <v>0</v>
      </c>
      <c r="H217" s="5" t="s">
        <v>1137</v>
      </c>
      <c r="I217" s="57"/>
    </row>
    <row r="218" spans="1:9" x14ac:dyDescent="0.15">
      <c r="A218" s="62" t="s">
        <v>247</v>
      </c>
      <c r="B218" s="20" t="s">
        <v>431</v>
      </c>
      <c r="C218" s="6">
        <v>1967</v>
      </c>
      <c r="D218" s="6">
        <v>0</v>
      </c>
      <c r="E218" s="6">
        <v>0</v>
      </c>
      <c r="F218" s="6">
        <v>0</v>
      </c>
      <c r="G218" s="6">
        <v>1</v>
      </c>
      <c r="H218" s="5" t="s">
        <v>1137</v>
      </c>
      <c r="I218" s="57"/>
    </row>
    <row r="219" spans="1:9" x14ac:dyDescent="0.15">
      <c r="A219" s="62" t="s">
        <v>248</v>
      </c>
      <c r="B219" s="20" t="s">
        <v>432</v>
      </c>
      <c r="C219" s="6">
        <v>2010</v>
      </c>
      <c r="D219" s="6">
        <v>0</v>
      </c>
      <c r="E219" s="6">
        <v>0</v>
      </c>
      <c r="F219" s="6">
        <v>0</v>
      </c>
      <c r="G219" s="6">
        <v>1</v>
      </c>
      <c r="H219" s="5" t="s">
        <v>1137</v>
      </c>
      <c r="I219" s="57"/>
    </row>
    <row r="220" spans="1:9" x14ac:dyDescent="0.15">
      <c r="A220" s="62" t="s">
        <v>249</v>
      </c>
      <c r="B220" s="20" t="s">
        <v>433</v>
      </c>
      <c r="C220" s="6">
        <v>1998</v>
      </c>
      <c r="D220" s="36">
        <v>0</v>
      </c>
      <c r="E220" s="36">
        <v>1</v>
      </c>
      <c r="F220" s="36">
        <v>1</v>
      </c>
      <c r="G220" s="6">
        <v>0</v>
      </c>
      <c r="H220" s="5" t="s">
        <v>1625</v>
      </c>
      <c r="I220" s="57"/>
    </row>
    <row r="221" spans="1:9" ht="12.75" customHeight="1" x14ac:dyDescent="0.15">
      <c r="A221" s="62" t="s">
        <v>250</v>
      </c>
      <c r="B221" s="20" t="s">
        <v>434</v>
      </c>
      <c r="C221" s="6">
        <v>1937</v>
      </c>
      <c r="D221" s="36">
        <v>0</v>
      </c>
      <c r="E221" s="36">
        <v>0</v>
      </c>
      <c r="F221" s="36">
        <v>1</v>
      </c>
      <c r="G221" s="6">
        <v>0</v>
      </c>
      <c r="H221" s="5" t="s">
        <v>1137</v>
      </c>
      <c r="I221" s="57"/>
    </row>
    <row r="222" spans="1:9" ht="12.75" customHeight="1" x14ac:dyDescent="0.15">
      <c r="A222" s="62" t="s">
        <v>251</v>
      </c>
      <c r="B222" s="20" t="s">
        <v>1356</v>
      </c>
      <c r="C222" s="6">
        <v>2016</v>
      </c>
      <c r="D222" s="36">
        <v>0</v>
      </c>
      <c r="E222" s="36">
        <v>0</v>
      </c>
      <c r="F222" s="36">
        <v>0</v>
      </c>
      <c r="G222" s="6">
        <v>1</v>
      </c>
      <c r="H222" s="5" t="s">
        <v>1137</v>
      </c>
      <c r="I222" s="57"/>
    </row>
    <row r="223" spans="1:9" x14ac:dyDescent="0.15">
      <c r="A223" s="62" t="s">
        <v>252</v>
      </c>
      <c r="B223" s="20" t="s">
        <v>435</v>
      </c>
      <c r="C223" s="6">
        <v>1993</v>
      </c>
      <c r="D223" s="36">
        <v>0</v>
      </c>
      <c r="E223" s="36">
        <v>0</v>
      </c>
      <c r="F223" s="36">
        <v>0</v>
      </c>
      <c r="G223" s="6">
        <v>1</v>
      </c>
      <c r="H223" s="5" t="s">
        <v>1137</v>
      </c>
      <c r="I223" s="57"/>
    </row>
    <row r="224" spans="1:9" x14ac:dyDescent="0.15">
      <c r="A224" s="62" t="s">
        <v>253</v>
      </c>
      <c r="B224" s="20" t="s">
        <v>436</v>
      </c>
      <c r="C224" s="6">
        <v>1966</v>
      </c>
      <c r="D224" s="6">
        <v>0</v>
      </c>
      <c r="E224" s="6">
        <v>1</v>
      </c>
      <c r="F224" s="6">
        <v>1</v>
      </c>
      <c r="G224" s="6">
        <v>0</v>
      </c>
      <c r="H224" s="5" t="s">
        <v>1280</v>
      </c>
      <c r="I224" s="57"/>
    </row>
    <row r="225" spans="1:178" ht="14" x14ac:dyDescent="0.2">
      <c r="A225" s="62" t="s">
        <v>254</v>
      </c>
      <c r="B225" s="20" t="s">
        <v>437</v>
      </c>
      <c r="C225" s="6">
        <v>2008</v>
      </c>
      <c r="D225" s="6">
        <v>1</v>
      </c>
      <c r="E225" s="6">
        <v>0</v>
      </c>
      <c r="F225" s="6">
        <v>0</v>
      </c>
      <c r="G225" s="6">
        <v>0</v>
      </c>
      <c r="H225" s="5" t="s">
        <v>1591</v>
      </c>
      <c r="I225" s="57"/>
    </row>
    <row r="226" spans="1:178" x14ac:dyDescent="0.15">
      <c r="A226" s="62" t="s">
        <v>255</v>
      </c>
      <c r="B226" s="20" t="s">
        <v>438</v>
      </c>
      <c r="C226" s="6">
        <v>1970</v>
      </c>
      <c r="D226" s="6">
        <v>1</v>
      </c>
      <c r="E226" s="6">
        <v>0</v>
      </c>
      <c r="F226" s="6">
        <v>1</v>
      </c>
      <c r="G226" s="6">
        <v>0</v>
      </c>
      <c r="H226" s="5" t="s">
        <v>1614</v>
      </c>
      <c r="I226" s="57"/>
    </row>
    <row r="227" spans="1:178" x14ac:dyDescent="0.15">
      <c r="A227" s="62" t="s">
        <v>256</v>
      </c>
      <c r="B227" s="20" t="s">
        <v>439</v>
      </c>
      <c r="C227" s="6">
        <v>1800</v>
      </c>
      <c r="D227" s="6">
        <v>1</v>
      </c>
      <c r="E227" s="6">
        <v>0</v>
      </c>
      <c r="F227" s="6">
        <v>0</v>
      </c>
      <c r="G227" s="6">
        <v>0</v>
      </c>
      <c r="H227" s="5" t="s">
        <v>1281</v>
      </c>
      <c r="I227" s="57"/>
    </row>
    <row r="228" spans="1:178" x14ac:dyDescent="0.15">
      <c r="A228" s="62" t="s">
        <v>257</v>
      </c>
      <c r="B228" s="20" t="s">
        <v>440</v>
      </c>
      <c r="C228" s="6">
        <v>1969</v>
      </c>
      <c r="D228" s="6">
        <v>0</v>
      </c>
      <c r="E228" s="6">
        <v>0</v>
      </c>
      <c r="F228" s="6">
        <v>0</v>
      </c>
      <c r="G228" s="6">
        <v>1</v>
      </c>
      <c r="H228" s="5" t="s">
        <v>1137</v>
      </c>
      <c r="I228" s="57"/>
    </row>
    <row r="229" spans="1:178" x14ac:dyDescent="0.15">
      <c r="A229" s="62" t="s">
        <v>258</v>
      </c>
      <c r="B229" s="20" t="s">
        <v>441</v>
      </c>
      <c r="C229" s="6">
        <v>1957</v>
      </c>
      <c r="D229" s="6">
        <v>1</v>
      </c>
      <c r="E229" s="6">
        <v>0</v>
      </c>
      <c r="F229" s="6">
        <v>0</v>
      </c>
      <c r="G229" s="6">
        <v>0</v>
      </c>
      <c r="H229" s="5" t="s">
        <v>1593</v>
      </c>
      <c r="I229" s="57"/>
    </row>
    <row r="230" spans="1:178" x14ac:dyDescent="0.15">
      <c r="A230" s="62" t="s">
        <v>259</v>
      </c>
      <c r="B230" s="20" t="s">
        <v>442</v>
      </c>
      <c r="C230" s="6">
        <v>2001</v>
      </c>
      <c r="D230" s="6">
        <v>1</v>
      </c>
      <c r="E230" s="6">
        <v>0</v>
      </c>
      <c r="F230" s="6">
        <v>1</v>
      </c>
      <c r="G230" s="6">
        <v>0</v>
      </c>
      <c r="H230" s="5" t="s">
        <v>1594</v>
      </c>
    </row>
    <row r="231" spans="1:178" ht="14" x14ac:dyDescent="0.2">
      <c r="A231" s="62" t="s">
        <v>260</v>
      </c>
      <c r="B231" s="20" t="s">
        <v>35</v>
      </c>
      <c r="C231" s="25" t="s">
        <v>877</v>
      </c>
      <c r="D231" s="36">
        <v>0</v>
      </c>
      <c r="E231" s="36">
        <v>1</v>
      </c>
      <c r="F231" s="36">
        <v>1</v>
      </c>
      <c r="G231" s="6">
        <v>0</v>
      </c>
      <c r="H231" s="5" t="s">
        <v>1189</v>
      </c>
      <c r="I231" s="57"/>
    </row>
    <row r="232" spans="1:178" x14ac:dyDescent="0.15">
      <c r="A232" s="62" t="s">
        <v>261</v>
      </c>
      <c r="B232" s="20" t="s">
        <v>21</v>
      </c>
      <c r="C232" s="6">
        <v>1930</v>
      </c>
      <c r="D232" s="6">
        <v>0</v>
      </c>
      <c r="E232" s="6">
        <v>0</v>
      </c>
      <c r="F232" s="6">
        <v>0</v>
      </c>
      <c r="G232" s="6">
        <v>1</v>
      </c>
      <c r="H232" s="5" t="s">
        <v>1190</v>
      </c>
    </row>
    <row r="233" spans="1:178" x14ac:dyDescent="0.15">
      <c r="A233" s="62" t="s">
        <v>262</v>
      </c>
      <c r="B233" s="20" t="s">
        <v>443</v>
      </c>
      <c r="C233" s="6">
        <v>1914</v>
      </c>
      <c r="D233" s="6">
        <v>0</v>
      </c>
      <c r="E233" s="6">
        <v>1</v>
      </c>
      <c r="F233" s="6">
        <v>0</v>
      </c>
      <c r="G233" s="6">
        <v>0</v>
      </c>
      <c r="H233" s="5" t="s">
        <v>1188</v>
      </c>
      <c r="I233" s="57"/>
    </row>
    <row r="234" spans="1:178" x14ac:dyDescent="0.15">
      <c r="A234" s="62" t="s">
        <v>263</v>
      </c>
      <c r="B234" s="20" t="s">
        <v>6</v>
      </c>
      <c r="C234" s="6">
        <v>1903</v>
      </c>
      <c r="D234" s="6">
        <v>0</v>
      </c>
      <c r="E234" s="6">
        <v>1</v>
      </c>
      <c r="F234" s="6">
        <v>0</v>
      </c>
      <c r="G234" s="6">
        <v>0</v>
      </c>
      <c r="H234" s="5" t="s">
        <v>1142</v>
      </c>
      <c r="I234" s="57"/>
    </row>
    <row r="235" spans="1:178" x14ac:dyDescent="0.15">
      <c r="A235" s="62" t="s">
        <v>264</v>
      </c>
      <c r="B235" s="20" t="s">
        <v>444</v>
      </c>
      <c r="C235" s="6">
        <v>1980</v>
      </c>
      <c r="D235" s="6">
        <v>0</v>
      </c>
      <c r="E235" s="6">
        <v>0</v>
      </c>
      <c r="F235" s="6">
        <v>0</v>
      </c>
      <c r="G235" s="6">
        <v>1</v>
      </c>
      <c r="H235" s="5" t="s">
        <v>1137</v>
      </c>
      <c r="I235" s="57"/>
    </row>
    <row r="236" spans="1:178" x14ac:dyDescent="0.15">
      <c r="A236" s="62" t="s">
        <v>265</v>
      </c>
      <c r="B236" s="20" t="s">
        <v>445</v>
      </c>
      <c r="C236" s="6">
        <v>2013</v>
      </c>
      <c r="D236" s="6">
        <v>0</v>
      </c>
      <c r="E236" s="6">
        <v>0</v>
      </c>
      <c r="F236" s="6">
        <v>0</v>
      </c>
      <c r="G236" s="6">
        <v>1</v>
      </c>
      <c r="H236" s="5" t="s">
        <v>1191</v>
      </c>
      <c r="I236" s="57"/>
    </row>
    <row r="237" spans="1:178" x14ac:dyDescent="0.15">
      <c r="A237" s="62" t="s">
        <v>266</v>
      </c>
      <c r="B237" s="20" t="s">
        <v>446</v>
      </c>
      <c r="C237" s="6">
        <v>1962</v>
      </c>
      <c r="D237" s="36">
        <v>0</v>
      </c>
      <c r="E237" s="36">
        <v>1</v>
      </c>
      <c r="F237" s="36">
        <v>0</v>
      </c>
      <c r="G237" s="36">
        <v>0</v>
      </c>
      <c r="H237" s="5" t="s">
        <v>1282</v>
      </c>
      <c r="I237" s="57"/>
    </row>
    <row r="238" spans="1:178" s="17" customFormat="1" x14ac:dyDescent="0.15">
      <c r="A238" s="62" t="s">
        <v>267</v>
      </c>
      <c r="B238" s="20" t="s">
        <v>447</v>
      </c>
      <c r="C238" s="6">
        <v>1952</v>
      </c>
      <c r="D238" s="6">
        <v>0</v>
      </c>
      <c r="E238" s="6">
        <v>1</v>
      </c>
      <c r="F238" s="6">
        <v>1</v>
      </c>
      <c r="G238" s="36">
        <v>0</v>
      </c>
      <c r="H238" s="5" t="s">
        <v>1192</v>
      </c>
      <c r="I238" s="57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  <c r="FO238"/>
      <c r="FP238"/>
      <c r="FQ238"/>
      <c r="FR238"/>
      <c r="FS238"/>
      <c r="FT238"/>
      <c r="FU238"/>
      <c r="FV238"/>
    </row>
    <row r="239" spans="1:178" x14ac:dyDescent="0.15">
      <c r="A239" s="62" t="s">
        <v>268</v>
      </c>
      <c r="B239" s="20" t="s">
        <v>448</v>
      </c>
      <c r="C239" s="6">
        <v>1974</v>
      </c>
      <c r="D239" s="6">
        <v>0</v>
      </c>
      <c r="E239" s="6">
        <v>0</v>
      </c>
      <c r="F239" s="6">
        <v>0</v>
      </c>
      <c r="G239" s="6">
        <v>1</v>
      </c>
      <c r="H239" s="5" t="s">
        <v>1137</v>
      </c>
      <c r="I239" s="57"/>
    </row>
    <row r="240" spans="1:178" x14ac:dyDescent="0.15">
      <c r="A240" s="62" t="s">
        <v>269</v>
      </c>
      <c r="B240" s="20" t="s">
        <v>449</v>
      </c>
      <c r="C240" s="6">
        <v>2014</v>
      </c>
      <c r="D240" s="6">
        <v>0</v>
      </c>
      <c r="E240" s="6">
        <v>0</v>
      </c>
      <c r="F240" s="6">
        <v>0</v>
      </c>
      <c r="G240" s="6">
        <v>1</v>
      </c>
      <c r="H240" s="5" t="s">
        <v>1137</v>
      </c>
      <c r="I240" s="57"/>
    </row>
    <row r="241" spans="1:178" x14ac:dyDescent="0.15">
      <c r="A241" s="62" t="s">
        <v>270</v>
      </c>
      <c r="B241" s="20" t="s">
        <v>1325</v>
      </c>
      <c r="C241" s="6">
        <v>1955</v>
      </c>
      <c r="D241" s="6">
        <v>0</v>
      </c>
      <c r="E241" s="6">
        <v>1</v>
      </c>
      <c r="F241" s="6">
        <v>0</v>
      </c>
      <c r="G241" s="6">
        <v>0</v>
      </c>
      <c r="H241" s="5" t="s">
        <v>1193</v>
      </c>
      <c r="I241" s="57"/>
    </row>
    <row r="242" spans="1:178" x14ac:dyDescent="0.15">
      <c r="A242" s="62" t="s">
        <v>271</v>
      </c>
      <c r="B242" s="20" t="s">
        <v>450</v>
      </c>
      <c r="C242" s="6">
        <v>1959</v>
      </c>
      <c r="D242" s="36">
        <v>0</v>
      </c>
      <c r="E242" s="36">
        <v>0</v>
      </c>
      <c r="F242" s="36">
        <v>1</v>
      </c>
      <c r="G242" s="6">
        <v>0</v>
      </c>
      <c r="H242" s="5" t="s">
        <v>1194</v>
      </c>
      <c r="I242" s="57"/>
    </row>
    <row r="243" spans="1:178" x14ac:dyDescent="0.15">
      <c r="A243" s="62" t="s">
        <v>272</v>
      </c>
      <c r="B243" s="20" t="s">
        <v>451</v>
      </c>
      <c r="C243" s="6">
        <v>1995</v>
      </c>
      <c r="D243" s="36">
        <v>0</v>
      </c>
      <c r="E243" s="36">
        <v>0</v>
      </c>
      <c r="F243" s="6">
        <v>0</v>
      </c>
      <c r="G243" s="6">
        <v>1</v>
      </c>
      <c r="H243" s="5" t="s">
        <v>1137</v>
      </c>
    </row>
    <row r="244" spans="1:178" x14ac:dyDescent="0.15">
      <c r="A244" s="62" t="s">
        <v>273</v>
      </c>
      <c r="B244" s="20" t="s">
        <v>452</v>
      </c>
      <c r="C244" s="6">
        <v>1983</v>
      </c>
      <c r="D244" s="36">
        <v>0</v>
      </c>
      <c r="E244" s="36">
        <v>0</v>
      </c>
      <c r="F244" s="6">
        <v>1</v>
      </c>
      <c r="G244" s="6">
        <v>0</v>
      </c>
      <c r="H244" s="5" t="s">
        <v>1137</v>
      </c>
      <c r="I244" s="57"/>
    </row>
    <row r="245" spans="1:178" x14ac:dyDescent="0.15">
      <c r="A245" s="62" t="s">
        <v>274</v>
      </c>
      <c r="B245" s="20" t="s">
        <v>453</v>
      </c>
      <c r="C245" s="6">
        <v>1953</v>
      </c>
      <c r="D245" s="6">
        <v>0</v>
      </c>
      <c r="E245" s="6">
        <v>1</v>
      </c>
      <c r="F245" s="6">
        <v>0</v>
      </c>
      <c r="G245" s="6">
        <v>0</v>
      </c>
      <c r="H245" s="5" t="s">
        <v>1283</v>
      </c>
      <c r="I245" s="57"/>
      <c r="BC245" s="17"/>
      <c r="BD245" s="17"/>
      <c r="BE245" s="17"/>
      <c r="BF245" s="17"/>
      <c r="BG245" s="17"/>
      <c r="BH245" s="17"/>
      <c r="BI245" s="17"/>
      <c r="BJ245" s="17"/>
      <c r="BK245" s="17"/>
      <c r="BL245" s="17"/>
      <c r="BM245" s="17"/>
      <c r="BN245" s="17"/>
      <c r="BO245" s="17"/>
      <c r="BP245" s="17"/>
      <c r="BQ245" s="17"/>
      <c r="BR245" s="17"/>
      <c r="BS245" s="17"/>
      <c r="BT245" s="17"/>
      <c r="BU245" s="17"/>
      <c r="BV245" s="17"/>
      <c r="BW245" s="17"/>
      <c r="BX245" s="17"/>
      <c r="BY245" s="17"/>
      <c r="BZ245" s="17"/>
      <c r="CA245" s="17"/>
      <c r="CB245" s="17"/>
      <c r="CC245" s="17"/>
      <c r="CD245" s="17"/>
      <c r="CE245" s="17"/>
      <c r="CF245" s="17"/>
      <c r="CG245" s="17"/>
      <c r="CH245" s="17"/>
      <c r="CI245" s="17"/>
      <c r="CJ245" s="17"/>
      <c r="CK245" s="17"/>
      <c r="CL245" s="17"/>
      <c r="CM245" s="17"/>
      <c r="CN245" s="17"/>
      <c r="CO245" s="17"/>
      <c r="CP245" s="17"/>
      <c r="CQ245" s="17"/>
      <c r="CR245" s="17"/>
      <c r="CS245" s="17"/>
      <c r="CT245" s="17"/>
      <c r="CU245" s="17"/>
      <c r="CV245" s="17"/>
      <c r="CW245" s="17"/>
      <c r="CX245" s="17"/>
      <c r="CY245" s="17"/>
      <c r="CZ245" s="17"/>
      <c r="DA245" s="17"/>
      <c r="DB245" s="17"/>
      <c r="DC245" s="17"/>
      <c r="DD245" s="17"/>
      <c r="DE245" s="17"/>
      <c r="DF245" s="17"/>
      <c r="DG245" s="17"/>
      <c r="DH245" s="17"/>
      <c r="DI245" s="17"/>
      <c r="DJ245" s="17"/>
      <c r="DK245" s="17"/>
      <c r="DL245" s="17"/>
      <c r="DM245" s="17"/>
      <c r="DN245" s="17"/>
      <c r="DO245" s="17"/>
      <c r="DP245" s="17"/>
      <c r="DQ245" s="17"/>
      <c r="DR245" s="17"/>
      <c r="DS245" s="17"/>
      <c r="DT245" s="17"/>
      <c r="DU245" s="17"/>
      <c r="DV245" s="17"/>
      <c r="DW245" s="17"/>
      <c r="DX245" s="17"/>
      <c r="DY245" s="17"/>
      <c r="DZ245" s="17"/>
      <c r="EA245" s="17"/>
      <c r="EB245" s="17"/>
      <c r="EC245" s="17"/>
      <c r="ED245" s="17"/>
      <c r="EE245" s="17"/>
      <c r="EF245" s="17"/>
      <c r="EG245" s="17"/>
      <c r="EH245" s="17"/>
      <c r="EI245" s="17"/>
      <c r="EJ245" s="17"/>
      <c r="EK245" s="17"/>
      <c r="EL245" s="17"/>
      <c r="EM245" s="17"/>
      <c r="EN245" s="17"/>
      <c r="EO245" s="17"/>
      <c r="EP245" s="17"/>
      <c r="EQ245" s="17"/>
      <c r="ER245" s="17"/>
      <c r="ES245" s="17"/>
      <c r="ET245" s="17"/>
      <c r="EU245" s="17"/>
      <c r="EV245" s="17"/>
      <c r="EW245" s="17"/>
      <c r="EX245" s="17"/>
      <c r="EY245" s="17"/>
      <c r="EZ245" s="17"/>
      <c r="FA245" s="17"/>
      <c r="FB245" s="17"/>
      <c r="FC245" s="17"/>
      <c r="FD245" s="17"/>
      <c r="FE245" s="17"/>
      <c r="FF245" s="17"/>
      <c r="FG245" s="17"/>
      <c r="FH245" s="17"/>
      <c r="FI245" s="17"/>
      <c r="FJ245" s="17"/>
      <c r="FK245" s="17"/>
      <c r="FL245" s="17"/>
      <c r="FM245" s="17"/>
      <c r="FN245" s="17"/>
      <c r="FO245" s="17"/>
      <c r="FP245" s="17"/>
      <c r="FQ245" s="17"/>
      <c r="FR245" s="17"/>
      <c r="FS245" s="17"/>
      <c r="FT245" s="17"/>
      <c r="FU245" s="17"/>
      <c r="FV245" s="17"/>
    </row>
    <row r="246" spans="1:178" x14ac:dyDescent="0.15">
      <c r="A246" s="62" t="s">
        <v>275</v>
      </c>
      <c r="B246" s="20" t="s">
        <v>454</v>
      </c>
      <c r="C246" s="6">
        <v>1893</v>
      </c>
      <c r="D246" s="6">
        <v>0</v>
      </c>
      <c r="E246" s="6">
        <v>0</v>
      </c>
      <c r="F246" s="6">
        <v>0</v>
      </c>
      <c r="G246" s="6">
        <v>1</v>
      </c>
      <c r="H246" s="8" t="s">
        <v>1137</v>
      </c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  <c r="BA246" s="17"/>
      <c r="BB246" s="17"/>
    </row>
    <row r="247" spans="1:178" x14ac:dyDescent="0.15">
      <c r="A247" s="62" t="s">
        <v>276</v>
      </c>
      <c r="B247" s="20" t="s">
        <v>455</v>
      </c>
      <c r="C247" s="6">
        <v>1868</v>
      </c>
      <c r="D247" s="52">
        <v>0</v>
      </c>
      <c r="E247" s="52">
        <v>1</v>
      </c>
      <c r="F247" s="52">
        <v>1</v>
      </c>
      <c r="G247" s="6">
        <v>0</v>
      </c>
      <c r="H247" s="5" t="s">
        <v>1284</v>
      </c>
      <c r="I247" s="57"/>
    </row>
    <row r="248" spans="1:178" ht="14" x14ac:dyDescent="0.15">
      <c r="A248" s="62" t="s">
        <v>277</v>
      </c>
      <c r="B248" s="20" t="s">
        <v>908</v>
      </c>
      <c r="C248" s="6">
        <v>1862</v>
      </c>
      <c r="D248" s="6">
        <v>0</v>
      </c>
      <c r="E248" s="6">
        <v>1</v>
      </c>
      <c r="F248" s="6">
        <v>1</v>
      </c>
      <c r="G248" s="6">
        <v>0</v>
      </c>
      <c r="H248" s="5" t="s">
        <v>1597</v>
      </c>
      <c r="I248" s="57"/>
    </row>
    <row r="249" spans="1:178" x14ac:dyDescent="0.15">
      <c r="A249" s="62" t="s">
        <v>278</v>
      </c>
      <c r="B249" s="20" t="s">
        <v>456</v>
      </c>
      <c r="C249" s="6">
        <v>2013</v>
      </c>
      <c r="D249" s="6">
        <v>0</v>
      </c>
      <c r="E249" s="6">
        <v>0</v>
      </c>
      <c r="F249" s="6">
        <v>1</v>
      </c>
      <c r="G249" s="6">
        <v>0</v>
      </c>
      <c r="H249" s="5" t="s">
        <v>1137</v>
      </c>
      <c r="I249" s="57"/>
    </row>
    <row r="250" spans="1:178" x14ac:dyDescent="0.15">
      <c r="A250" s="62" t="s">
        <v>279</v>
      </c>
      <c r="B250" s="20" t="s">
        <v>1326</v>
      </c>
      <c r="C250" s="6">
        <v>1970</v>
      </c>
      <c r="D250" s="6">
        <v>0</v>
      </c>
      <c r="E250" s="6">
        <v>0</v>
      </c>
      <c r="F250" s="6">
        <v>1</v>
      </c>
      <c r="G250" s="6">
        <v>0</v>
      </c>
      <c r="H250" s="5" t="s">
        <v>1137</v>
      </c>
      <c r="I250" s="57"/>
    </row>
    <row r="251" spans="1:178" ht="14" x14ac:dyDescent="0.2">
      <c r="A251" s="62" t="s">
        <v>280</v>
      </c>
      <c r="B251" s="20" t="s">
        <v>457</v>
      </c>
      <c r="C251" s="6">
        <v>1995</v>
      </c>
      <c r="D251" s="6">
        <v>1</v>
      </c>
      <c r="E251" s="6">
        <v>0</v>
      </c>
      <c r="F251" s="6">
        <v>0</v>
      </c>
      <c r="G251" s="6">
        <v>0</v>
      </c>
      <c r="H251" s="5" t="s">
        <v>1285</v>
      </c>
      <c r="I251" s="57"/>
    </row>
    <row r="252" spans="1:178" ht="14" x14ac:dyDescent="0.15">
      <c r="A252" s="62" t="s">
        <v>281</v>
      </c>
      <c r="B252" s="20" t="s">
        <v>879</v>
      </c>
      <c r="C252" s="6">
        <v>1980</v>
      </c>
      <c r="D252" s="36">
        <v>0</v>
      </c>
      <c r="E252" s="36">
        <v>1</v>
      </c>
      <c r="F252" s="36">
        <v>1</v>
      </c>
      <c r="G252" s="36">
        <v>0</v>
      </c>
      <c r="H252" s="5" t="s">
        <v>1286</v>
      </c>
      <c r="I252" s="57"/>
    </row>
    <row r="253" spans="1:178" x14ac:dyDescent="0.15">
      <c r="A253" s="62" t="s">
        <v>282</v>
      </c>
      <c r="B253" s="20" t="s">
        <v>458</v>
      </c>
      <c r="C253" s="6">
        <v>1908</v>
      </c>
      <c r="D253" s="6">
        <v>0</v>
      </c>
      <c r="E253" s="6">
        <v>0</v>
      </c>
      <c r="F253" s="6">
        <v>1</v>
      </c>
      <c r="G253" s="36">
        <v>0</v>
      </c>
      <c r="H253" s="5" t="s">
        <v>1137</v>
      </c>
      <c r="I253" s="57"/>
    </row>
    <row r="254" spans="1:178" x14ac:dyDescent="0.15">
      <c r="A254" s="62" t="s">
        <v>283</v>
      </c>
      <c r="B254" s="20" t="s">
        <v>935</v>
      </c>
      <c r="C254" s="6">
        <v>2016</v>
      </c>
      <c r="D254" s="6">
        <v>0</v>
      </c>
      <c r="E254" s="6">
        <v>0</v>
      </c>
      <c r="F254" s="6">
        <v>1</v>
      </c>
      <c r="G254" s="6">
        <v>0</v>
      </c>
      <c r="H254" s="5" t="s">
        <v>1137</v>
      </c>
      <c r="I254" s="57"/>
    </row>
    <row r="255" spans="1:178" x14ac:dyDescent="0.15">
      <c r="A255" s="62" t="s">
        <v>284</v>
      </c>
      <c r="B255" s="20" t="s">
        <v>28</v>
      </c>
      <c r="C255" s="6">
        <v>1939</v>
      </c>
      <c r="D255" s="6">
        <v>1</v>
      </c>
      <c r="E255" s="6">
        <v>0</v>
      </c>
      <c r="F255" s="6">
        <v>0</v>
      </c>
      <c r="G255" s="6">
        <v>0</v>
      </c>
      <c r="H255" s="5" t="s">
        <v>1602</v>
      </c>
      <c r="I255" s="57"/>
    </row>
    <row r="256" spans="1:178" x14ac:dyDescent="0.15">
      <c r="A256" s="62" t="s">
        <v>285</v>
      </c>
      <c r="B256" s="20" t="s">
        <v>459</v>
      </c>
      <c r="C256" s="6">
        <v>1953</v>
      </c>
      <c r="D256" s="6">
        <v>0</v>
      </c>
      <c r="E256" s="6">
        <v>0</v>
      </c>
      <c r="F256" s="6">
        <v>0</v>
      </c>
      <c r="G256" s="6">
        <v>1</v>
      </c>
      <c r="H256" s="5" t="s">
        <v>1137</v>
      </c>
      <c r="I256" s="57"/>
    </row>
    <row r="257" spans="1:54" s="17" customFormat="1" x14ac:dyDescent="0.15">
      <c r="A257" s="62" t="s">
        <v>286</v>
      </c>
      <c r="B257" s="20" t="s">
        <v>460</v>
      </c>
      <c r="C257" s="6">
        <v>1968</v>
      </c>
      <c r="D257" s="6">
        <v>0</v>
      </c>
      <c r="E257" s="6">
        <v>0</v>
      </c>
      <c r="F257" s="6">
        <v>0</v>
      </c>
      <c r="G257" s="6">
        <v>1</v>
      </c>
      <c r="H257" s="5" t="s">
        <v>1137</v>
      </c>
      <c r="I257" s="57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</row>
    <row r="258" spans="1:54" x14ac:dyDescent="0.15">
      <c r="A258" s="62" t="s">
        <v>287</v>
      </c>
      <c r="B258" s="20" t="s">
        <v>461</v>
      </c>
      <c r="C258" s="6">
        <v>1967</v>
      </c>
      <c r="D258" s="6">
        <v>0</v>
      </c>
      <c r="E258" s="6">
        <v>0</v>
      </c>
      <c r="F258" s="6">
        <v>0</v>
      </c>
      <c r="G258" s="6">
        <v>1</v>
      </c>
      <c r="H258" s="5" t="s">
        <v>1137</v>
      </c>
      <c r="I258" s="57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  <c r="BA258" s="17"/>
      <c r="BB258" s="17"/>
    </row>
    <row r="259" spans="1:54" x14ac:dyDescent="0.15">
      <c r="A259" s="62" t="s">
        <v>288</v>
      </c>
      <c r="B259" s="20" t="s">
        <v>304</v>
      </c>
      <c r="C259" s="6">
        <v>1878</v>
      </c>
      <c r="D259" s="6">
        <v>1</v>
      </c>
      <c r="E259" s="6">
        <v>0</v>
      </c>
      <c r="F259" s="6">
        <v>0</v>
      </c>
      <c r="G259" s="6">
        <v>0</v>
      </c>
      <c r="H259" s="5" t="s">
        <v>1196</v>
      </c>
      <c r="I259" s="57"/>
    </row>
    <row r="260" spans="1:54" x14ac:dyDescent="0.15">
      <c r="A260" s="62" t="s">
        <v>289</v>
      </c>
      <c r="B260" s="20" t="s">
        <v>462</v>
      </c>
      <c r="C260" s="6">
        <v>1923</v>
      </c>
      <c r="D260" s="36">
        <v>0</v>
      </c>
      <c r="E260" s="36">
        <v>0</v>
      </c>
      <c r="F260" s="36">
        <v>1</v>
      </c>
      <c r="G260" s="6">
        <v>0</v>
      </c>
      <c r="H260" s="5" t="s">
        <v>1137</v>
      </c>
      <c r="I260" s="57"/>
    </row>
    <row r="261" spans="1:54" x14ac:dyDescent="0.15">
      <c r="A261" s="62" t="s">
        <v>290</v>
      </c>
      <c r="B261" s="20" t="s">
        <v>463</v>
      </c>
      <c r="C261" s="6">
        <v>2013</v>
      </c>
      <c r="D261" s="6">
        <v>0</v>
      </c>
      <c r="E261" s="6">
        <v>0</v>
      </c>
      <c r="F261" s="6">
        <v>1</v>
      </c>
      <c r="G261" s="6">
        <v>0</v>
      </c>
      <c r="H261" s="5" t="s">
        <v>1137</v>
      </c>
      <c r="I261" s="57"/>
    </row>
    <row r="262" spans="1:54" x14ac:dyDescent="0.15">
      <c r="A262" s="62" t="s">
        <v>291</v>
      </c>
      <c r="B262" s="20" t="s">
        <v>464</v>
      </c>
      <c r="C262" s="6">
        <v>1984</v>
      </c>
      <c r="D262" s="6">
        <v>0</v>
      </c>
      <c r="E262" s="6">
        <v>0</v>
      </c>
      <c r="F262" s="6">
        <v>1</v>
      </c>
      <c r="G262" s="6">
        <v>0</v>
      </c>
      <c r="H262" s="5" t="s">
        <v>1137</v>
      </c>
      <c r="I262" s="57"/>
    </row>
    <row r="263" spans="1:54" x14ac:dyDescent="0.15">
      <c r="A263" s="62" t="s">
        <v>292</v>
      </c>
      <c r="B263" s="20" t="s">
        <v>465</v>
      </c>
      <c r="C263" s="6">
        <v>1992</v>
      </c>
      <c r="D263" s="36">
        <v>0</v>
      </c>
      <c r="E263" s="36">
        <v>0</v>
      </c>
      <c r="F263" s="36">
        <v>1</v>
      </c>
      <c r="G263" s="6">
        <v>0</v>
      </c>
      <c r="H263" s="5" t="s">
        <v>1287</v>
      </c>
      <c r="I263" s="57"/>
    </row>
    <row r="264" spans="1:54" x14ac:dyDescent="0.15">
      <c r="A264" s="62" t="s">
        <v>293</v>
      </c>
      <c r="B264" s="20" t="s">
        <v>1327</v>
      </c>
      <c r="C264" s="6">
        <v>1850</v>
      </c>
      <c r="D264" s="36">
        <v>0</v>
      </c>
      <c r="E264" s="36">
        <v>0</v>
      </c>
      <c r="F264" s="36">
        <v>1</v>
      </c>
      <c r="G264" s="6">
        <v>0</v>
      </c>
      <c r="H264" s="5" t="s">
        <v>1288</v>
      </c>
      <c r="I264" s="57"/>
    </row>
    <row r="265" spans="1:54" x14ac:dyDescent="0.15">
      <c r="A265" s="62" t="s">
        <v>294</v>
      </c>
      <c r="B265" s="20" t="s">
        <v>1328</v>
      </c>
      <c r="C265" s="6">
        <v>1961</v>
      </c>
      <c r="D265" s="36">
        <v>0</v>
      </c>
      <c r="E265" s="36">
        <v>0</v>
      </c>
      <c r="F265" s="36">
        <v>1</v>
      </c>
      <c r="G265" s="6">
        <v>0</v>
      </c>
      <c r="H265" s="5" t="s">
        <v>1288</v>
      </c>
      <c r="I265" s="57"/>
    </row>
    <row r="266" spans="1:54" x14ac:dyDescent="0.15">
      <c r="A266" s="62" t="s">
        <v>295</v>
      </c>
      <c r="B266" s="20" t="s">
        <v>466</v>
      </c>
      <c r="C266" s="6">
        <v>2012</v>
      </c>
      <c r="D266" s="36">
        <v>0</v>
      </c>
      <c r="E266" s="36">
        <v>0</v>
      </c>
      <c r="F266" s="36">
        <v>1</v>
      </c>
      <c r="G266" s="6">
        <v>0</v>
      </c>
      <c r="H266" s="5" t="s">
        <v>1289</v>
      </c>
    </row>
    <row r="267" spans="1:54" x14ac:dyDescent="0.15">
      <c r="A267" s="62" t="s">
        <v>296</v>
      </c>
      <c r="B267" s="20" t="s">
        <v>467</v>
      </c>
      <c r="C267" s="6">
        <v>1961</v>
      </c>
      <c r="D267" s="6">
        <v>0</v>
      </c>
      <c r="E267" s="6">
        <v>1</v>
      </c>
      <c r="F267" s="6">
        <v>1</v>
      </c>
      <c r="G267" s="6">
        <v>0</v>
      </c>
      <c r="H267" s="5" t="s">
        <v>1182</v>
      </c>
      <c r="I267" s="57"/>
    </row>
    <row r="268" spans="1:54" ht="14" x14ac:dyDescent="0.2">
      <c r="A268" s="62" t="s">
        <v>297</v>
      </c>
      <c r="B268" s="20" t="s">
        <v>468</v>
      </c>
      <c r="C268" s="6">
        <v>1983</v>
      </c>
      <c r="D268" s="36">
        <v>1</v>
      </c>
      <c r="E268" s="36">
        <v>0</v>
      </c>
      <c r="F268" s="36">
        <v>1</v>
      </c>
      <c r="G268" s="6">
        <v>0</v>
      </c>
      <c r="H268" s="5" t="s">
        <v>1621</v>
      </c>
      <c r="I268" s="57"/>
    </row>
    <row r="269" spans="1:54" x14ac:dyDescent="0.15">
      <c r="A269" s="62" t="s">
        <v>298</v>
      </c>
      <c r="B269" s="20" t="s">
        <v>469</v>
      </c>
      <c r="C269" s="6">
        <v>1994</v>
      </c>
      <c r="D269" s="6">
        <v>0</v>
      </c>
      <c r="E269" s="6">
        <v>0</v>
      </c>
      <c r="F269" s="6">
        <v>0</v>
      </c>
      <c r="G269" s="6">
        <v>1</v>
      </c>
      <c r="H269" s="5" t="s">
        <v>1164</v>
      </c>
      <c r="I269" s="57"/>
    </row>
    <row r="270" spans="1:54" x14ac:dyDescent="0.15">
      <c r="A270" s="62" t="s">
        <v>607</v>
      </c>
      <c r="B270" s="20" t="s">
        <v>470</v>
      </c>
      <c r="C270" s="6">
        <v>1964</v>
      </c>
      <c r="D270" s="36">
        <v>0</v>
      </c>
      <c r="E270" s="36">
        <v>0</v>
      </c>
      <c r="F270" s="36">
        <v>1</v>
      </c>
      <c r="G270" s="6">
        <v>0</v>
      </c>
      <c r="H270" s="5" t="s">
        <v>1172</v>
      </c>
      <c r="I270" s="57"/>
    </row>
    <row r="271" spans="1:54" x14ac:dyDescent="0.15">
      <c r="A271" s="62" t="s">
        <v>299</v>
      </c>
      <c r="B271" s="20" t="s">
        <v>471</v>
      </c>
      <c r="C271" s="6">
        <v>1850</v>
      </c>
      <c r="D271" s="6">
        <v>0</v>
      </c>
      <c r="E271" s="6">
        <v>1</v>
      </c>
      <c r="F271" s="6">
        <v>0</v>
      </c>
      <c r="G271" s="6">
        <v>0</v>
      </c>
      <c r="H271" s="5" t="s">
        <v>1603</v>
      </c>
      <c r="I271" s="57"/>
    </row>
    <row r="272" spans="1:54" x14ac:dyDescent="0.15">
      <c r="A272" s="62" t="s">
        <v>300</v>
      </c>
      <c r="B272" s="20" t="s">
        <v>472</v>
      </c>
      <c r="C272" s="6">
        <v>1961</v>
      </c>
      <c r="D272" s="6">
        <v>0</v>
      </c>
      <c r="E272" s="6">
        <v>0</v>
      </c>
      <c r="F272" s="6">
        <v>0</v>
      </c>
      <c r="G272" s="6">
        <v>1</v>
      </c>
      <c r="H272" s="5" t="s">
        <v>1137</v>
      </c>
      <c r="I272" s="57"/>
    </row>
    <row r="273" spans="1:9" x14ac:dyDescent="0.15">
      <c r="A273" s="62" t="s">
        <v>301</v>
      </c>
      <c r="B273" s="20" t="s">
        <v>473</v>
      </c>
      <c r="C273" s="6">
        <v>2010</v>
      </c>
      <c r="D273" s="6">
        <v>0</v>
      </c>
      <c r="E273" s="6">
        <v>0</v>
      </c>
      <c r="F273" s="6">
        <v>1</v>
      </c>
      <c r="G273" s="6">
        <v>0</v>
      </c>
      <c r="H273" s="5" t="s">
        <v>1604</v>
      </c>
      <c r="I273" s="57"/>
    </row>
    <row r="274" spans="1:9" x14ac:dyDescent="0.15">
      <c r="A274" s="62" t="s">
        <v>302</v>
      </c>
      <c r="B274" s="20" t="s">
        <v>474</v>
      </c>
      <c r="C274" s="6">
        <v>2014</v>
      </c>
      <c r="D274" s="6">
        <v>0</v>
      </c>
      <c r="E274" s="6">
        <v>0</v>
      </c>
      <c r="F274" s="6">
        <v>1</v>
      </c>
      <c r="G274" s="6">
        <v>0</v>
      </c>
      <c r="H274" s="5" t="s">
        <v>1137</v>
      </c>
      <c r="I274" s="57"/>
    </row>
    <row r="275" spans="1:9" x14ac:dyDescent="0.15">
      <c r="A275" s="62" t="s">
        <v>808</v>
      </c>
      <c r="B275" s="20" t="s">
        <v>475</v>
      </c>
      <c r="C275" s="6">
        <v>2014</v>
      </c>
      <c r="D275" s="6">
        <v>0</v>
      </c>
      <c r="E275" s="6">
        <v>0</v>
      </c>
      <c r="F275" s="6">
        <v>1</v>
      </c>
      <c r="G275" s="6">
        <v>0</v>
      </c>
      <c r="H275" s="5" t="s">
        <v>1137</v>
      </c>
      <c r="I275" s="57"/>
    </row>
    <row r="276" spans="1:9" x14ac:dyDescent="0.15">
      <c r="A276" s="62" t="s">
        <v>809</v>
      </c>
      <c r="B276" s="20" t="s">
        <v>1332</v>
      </c>
      <c r="C276" s="6">
        <v>1938</v>
      </c>
      <c r="D276" s="6">
        <v>0</v>
      </c>
      <c r="E276" s="6">
        <v>1</v>
      </c>
      <c r="F276" s="6">
        <v>0</v>
      </c>
      <c r="G276" s="6">
        <v>0</v>
      </c>
      <c r="H276" s="5" t="s">
        <v>1197</v>
      </c>
      <c r="I276" s="57"/>
    </row>
    <row r="277" spans="1:9" x14ac:dyDescent="0.15">
      <c r="A277" s="62" t="s">
        <v>811</v>
      </c>
      <c r="B277" s="20" t="s">
        <v>1329</v>
      </c>
      <c r="C277" s="6">
        <v>1995</v>
      </c>
      <c r="D277" s="36">
        <v>0</v>
      </c>
      <c r="E277" s="36">
        <v>0</v>
      </c>
      <c r="F277" s="36">
        <v>1</v>
      </c>
      <c r="G277" s="6">
        <v>0</v>
      </c>
      <c r="H277" s="5" t="s">
        <v>1137</v>
      </c>
      <c r="I277" s="57"/>
    </row>
    <row r="278" spans="1:9" x14ac:dyDescent="0.15">
      <c r="A278" s="62" t="s">
        <v>814</v>
      </c>
      <c r="B278" s="20" t="s">
        <v>476</v>
      </c>
      <c r="C278" s="6">
        <v>1968</v>
      </c>
      <c r="D278" s="6">
        <v>0</v>
      </c>
      <c r="E278" s="6">
        <v>1</v>
      </c>
      <c r="F278" s="6">
        <v>0</v>
      </c>
      <c r="G278" s="6">
        <v>0</v>
      </c>
      <c r="H278" s="5" t="s">
        <v>1290</v>
      </c>
      <c r="I278" s="57"/>
    </row>
    <row r="279" spans="1:9" x14ac:dyDescent="0.15">
      <c r="A279" s="62" t="s">
        <v>816</v>
      </c>
      <c r="B279" s="20" t="s">
        <v>477</v>
      </c>
      <c r="C279" s="6">
        <v>1992</v>
      </c>
      <c r="D279" s="6">
        <v>0</v>
      </c>
      <c r="E279" s="6">
        <v>0</v>
      </c>
      <c r="F279" s="6">
        <v>0</v>
      </c>
      <c r="G279" s="6">
        <v>1</v>
      </c>
      <c r="H279" s="5" t="s">
        <v>1137</v>
      </c>
      <c r="I279" s="57"/>
    </row>
    <row r="280" spans="1:9" x14ac:dyDescent="0.15">
      <c r="A280" s="62" t="s">
        <v>819</v>
      </c>
      <c r="B280" s="20" t="s">
        <v>478</v>
      </c>
      <c r="C280" s="6">
        <v>2002</v>
      </c>
      <c r="D280" s="6">
        <v>0</v>
      </c>
      <c r="E280" s="6">
        <v>0</v>
      </c>
      <c r="F280" s="6">
        <v>0</v>
      </c>
      <c r="G280" s="6">
        <v>1</v>
      </c>
      <c r="H280" s="5" t="s">
        <v>1137</v>
      </c>
      <c r="I280" s="57"/>
    </row>
    <row r="281" spans="1:9" x14ac:dyDescent="0.15">
      <c r="A281" s="62" t="s">
        <v>822</v>
      </c>
      <c r="B281" s="20" t="s">
        <v>479</v>
      </c>
      <c r="C281" s="6">
        <v>2012</v>
      </c>
      <c r="D281" s="6">
        <v>0</v>
      </c>
      <c r="E281" s="6">
        <v>0</v>
      </c>
      <c r="F281" s="6">
        <v>0</v>
      </c>
      <c r="G281" s="6">
        <v>1</v>
      </c>
      <c r="H281" s="5" t="s">
        <v>1137</v>
      </c>
      <c r="I281" s="57"/>
    </row>
    <row r="282" spans="1:9" x14ac:dyDescent="0.15">
      <c r="A282" s="62" t="s">
        <v>824</v>
      </c>
      <c r="B282" s="20" t="s">
        <v>480</v>
      </c>
      <c r="C282" s="6">
        <v>1966</v>
      </c>
      <c r="D282" s="6">
        <v>0</v>
      </c>
      <c r="E282" s="6">
        <v>0</v>
      </c>
      <c r="F282" s="6">
        <v>0</v>
      </c>
      <c r="G282" s="6">
        <v>1</v>
      </c>
      <c r="H282" s="5" t="s">
        <v>1137</v>
      </c>
      <c r="I282" s="57"/>
    </row>
    <row r="283" spans="1:9" x14ac:dyDescent="0.15">
      <c r="A283" s="62" t="s">
        <v>830</v>
      </c>
      <c r="B283" s="20" t="s">
        <v>481</v>
      </c>
      <c r="C283" s="6">
        <v>1920</v>
      </c>
      <c r="D283" s="36">
        <v>0</v>
      </c>
      <c r="E283" s="36">
        <v>1</v>
      </c>
      <c r="F283" s="36">
        <v>1</v>
      </c>
      <c r="G283" s="6">
        <v>0</v>
      </c>
      <c r="H283" s="37" t="s">
        <v>1607</v>
      </c>
      <c r="I283" s="57"/>
    </row>
    <row r="284" spans="1:9" ht="14" x14ac:dyDescent="0.2">
      <c r="A284" s="62" t="s">
        <v>833</v>
      </c>
      <c r="B284" s="20" t="s">
        <v>934</v>
      </c>
      <c r="C284" s="6">
        <v>2016</v>
      </c>
      <c r="D284" s="36">
        <v>0</v>
      </c>
      <c r="E284" s="36">
        <v>0</v>
      </c>
      <c r="F284" s="36">
        <v>0</v>
      </c>
      <c r="G284" s="6">
        <v>1</v>
      </c>
      <c r="H284" s="5" t="s">
        <v>1291</v>
      </c>
    </row>
    <row r="285" spans="1:9" x14ac:dyDescent="0.15">
      <c r="A285" s="62" t="s">
        <v>834</v>
      </c>
      <c r="B285" s="20" t="s">
        <v>482</v>
      </c>
      <c r="C285" s="6">
        <v>2002</v>
      </c>
      <c r="D285" s="6">
        <v>0</v>
      </c>
      <c r="E285" s="6">
        <v>0</v>
      </c>
      <c r="F285" s="6">
        <v>0</v>
      </c>
      <c r="G285" s="6">
        <v>1</v>
      </c>
      <c r="H285" s="5" t="s">
        <v>1137</v>
      </c>
      <c r="I285" s="57"/>
    </row>
    <row r="286" spans="1:9" ht="12.75" customHeight="1" x14ac:dyDescent="0.15">
      <c r="A286" s="62" t="s">
        <v>836</v>
      </c>
      <c r="B286" s="20" t="s">
        <v>483</v>
      </c>
      <c r="C286" s="6">
        <v>1970</v>
      </c>
      <c r="D286" s="6">
        <v>0</v>
      </c>
      <c r="E286" s="6">
        <v>0</v>
      </c>
      <c r="F286" s="6">
        <v>0</v>
      </c>
      <c r="G286" s="6">
        <v>1</v>
      </c>
      <c r="H286" s="5" t="s">
        <v>1200</v>
      </c>
      <c r="I286" s="57"/>
    </row>
    <row r="287" spans="1:9" ht="12.75" customHeight="1" x14ac:dyDescent="0.15">
      <c r="A287" s="62" t="s">
        <v>837</v>
      </c>
      <c r="B287" s="20" t="s">
        <v>1335</v>
      </c>
      <c r="C287" s="6">
        <v>1838</v>
      </c>
      <c r="D287" s="36">
        <v>0</v>
      </c>
      <c r="E287" s="36">
        <v>1</v>
      </c>
      <c r="F287" s="36">
        <v>1</v>
      </c>
      <c r="G287" s="6">
        <v>0</v>
      </c>
      <c r="H287" s="37" t="s">
        <v>1612</v>
      </c>
      <c r="I287" s="57"/>
    </row>
    <row r="288" spans="1:9" x14ac:dyDescent="0.15">
      <c r="A288" s="62" t="s">
        <v>852</v>
      </c>
      <c r="B288" s="20" t="s">
        <v>484</v>
      </c>
      <c r="C288" s="6">
        <v>1990</v>
      </c>
      <c r="D288" s="6">
        <v>0</v>
      </c>
      <c r="E288" s="6">
        <v>0</v>
      </c>
      <c r="F288" s="6">
        <v>0</v>
      </c>
      <c r="G288" s="6">
        <v>1</v>
      </c>
      <c r="H288" s="5" t="s">
        <v>1137</v>
      </c>
      <c r="I288" s="57"/>
    </row>
    <row r="289" spans="1:9" x14ac:dyDescent="0.15">
      <c r="A289" s="62" t="s">
        <v>853</v>
      </c>
      <c r="B289" s="20" t="s">
        <v>4</v>
      </c>
      <c r="C289" s="6">
        <v>1990</v>
      </c>
      <c r="D289" s="6">
        <v>0</v>
      </c>
      <c r="E289" s="6">
        <v>1</v>
      </c>
      <c r="F289" s="6">
        <v>0</v>
      </c>
      <c r="G289" s="6">
        <v>0</v>
      </c>
      <c r="H289" s="5" t="s">
        <v>1201</v>
      </c>
      <c r="I289" s="57"/>
    </row>
    <row r="290" spans="1:9" ht="12.75" customHeight="1" x14ac:dyDescent="0.15">
      <c r="A290" s="62" t="s">
        <v>854</v>
      </c>
      <c r="B290" s="20" t="s">
        <v>485</v>
      </c>
      <c r="C290" s="6">
        <v>1962</v>
      </c>
      <c r="D290" s="6">
        <v>0</v>
      </c>
      <c r="E290" s="6">
        <v>0</v>
      </c>
      <c r="F290" s="6">
        <v>0</v>
      </c>
      <c r="G290" s="6">
        <v>1</v>
      </c>
      <c r="H290" s="5" t="s">
        <v>1137</v>
      </c>
      <c r="I290" s="57"/>
    </row>
    <row r="291" spans="1:9" x14ac:dyDescent="0.15">
      <c r="A291" s="62" t="s">
        <v>855</v>
      </c>
      <c r="B291" s="20" t="s">
        <v>17</v>
      </c>
      <c r="C291" s="6">
        <v>1998</v>
      </c>
      <c r="D291" s="6">
        <v>0</v>
      </c>
      <c r="E291" s="6">
        <v>0</v>
      </c>
      <c r="F291" s="6">
        <v>1</v>
      </c>
      <c r="G291" s="6">
        <v>0</v>
      </c>
      <c r="H291" s="5" t="s">
        <v>1137</v>
      </c>
      <c r="I291" s="57"/>
    </row>
    <row r="292" spans="1:9" x14ac:dyDescent="0.15">
      <c r="A292" s="62" t="s">
        <v>858</v>
      </c>
      <c r="B292" s="20" t="s">
        <v>486</v>
      </c>
      <c r="C292" s="6">
        <v>1845</v>
      </c>
      <c r="D292" s="6">
        <v>0</v>
      </c>
      <c r="E292" s="6">
        <v>0</v>
      </c>
      <c r="F292" s="6">
        <v>0</v>
      </c>
      <c r="G292" s="6">
        <v>1</v>
      </c>
      <c r="H292" s="5" t="s">
        <v>1137</v>
      </c>
      <c r="I292" s="57"/>
    </row>
    <row r="293" spans="1:9" x14ac:dyDescent="0.15">
      <c r="A293" s="62" t="s">
        <v>905</v>
      </c>
      <c r="B293" s="20" t="s">
        <v>25</v>
      </c>
      <c r="C293" s="6">
        <v>1994</v>
      </c>
      <c r="D293" s="6">
        <v>1</v>
      </c>
      <c r="E293" s="6">
        <v>0</v>
      </c>
      <c r="F293" s="6">
        <v>1</v>
      </c>
      <c r="G293" s="6">
        <v>0</v>
      </c>
      <c r="H293" s="37" t="s">
        <v>1292</v>
      </c>
      <c r="I293" s="57"/>
    </row>
    <row r="294" spans="1:9" x14ac:dyDescent="0.15">
      <c r="A294" s="62" t="s">
        <v>919</v>
      </c>
      <c r="B294" s="20" t="s">
        <v>890</v>
      </c>
      <c r="C294" s="6">
        <v>2014</v>
      </c>
      <c r="D294" s="36">
        <v>1</v>
      </c>
      <c r="E294" s="36">
        <v>0</v>
      </c>
      <c r="F294" s="36">
        <v>0</v>
      </c>
      <c r="G294" s="6">
        <v>0</v>
      </c>
      <c r="H294" s="5" t="s">
        <v>1293</v>
      </c>
      <c r="I294" s="57"/>
    </row>
    <row r="295" spans="1:9" ht="12.75" customHeight="1" x14ac:dyDescent="0.15">
      <c r="A295" s="62" t="s">
        <v>1367</v>
      </c>
      <c r="B295" s="20" t="s">
        <v>1376</v>
      </c>
      <c r="C295" s="6">
        <v>2014</v>
      </c>
      <c r="D295" s="36">
        <v>1</v>
      </c>
      <c r="E295" s="36">
        <v>0</v>
      </c>
      <c r="F295" s="36">
        <v>1</v>
      </c>
      <c r="G295" s="6">
        <v>0</v>
      </c>
      <c r="H295" s="5" t="s">
        <v>1616</v>
      </c>
      <c r="I295" s="57"/>
    </row>
    <row r="296" spans="1:9" x14ac:dyDescent="0.15">
      <c r="A296" s="62" t="s">
        <v>922</v>
      </c>
      <c r="B296" s="20" t="s">
        <v>1346</v>
      </c>
      <c r="C296" s="6">
        <v>2016</v>
      </c>
      <c r="D296" s="36">
        <v>1</v>
      </c>
      <c r="E296" s="36">
        <v>0</v>
      </c>
      <c r="F296" s="36">
        <v>0</v>
      </c>
      <c r="G296" s="6">
        <v>0</v>
      </c>
      <c r="H296" s="5" t="s">
        <v>1382</v>
      </c>
    </row>
    <row r="297" spans="1:9" x14ac:dyDescent="0.15">
      <c r="A297" s="62" t="s">
        <v>928</v>
      </c>
      <c r="B297" s="20" t="s">
        <v>1350</v>
      </c>
      <c r="C297" s="6">
        <v>2016</v>
      </c>
      <c r="D297" s="36">
        <v>1</v>
      </c>
      <c r="E297" s="36">
        <v>0</v>
      </c>
      <c r="F297" s="36">
        <v>0</v>
      </c>
      <c r="G297" s="6">
        <v>0</v>
      </c>
      <c r="H297" s="5" t="s">
        <v>1383</v>
      </c>
      <c r="I297" s="57"/>
    </row>
    <row r="298" spans="1:9" x14ac:dyDescent="0.15">
      <c r="A298" s="62" t="s">
        <v>929</v>
      </c>
      <c r="B298" s="22" t="s">
        <v>1341</v>
      </c>
      <c r="C298" s="2">
        <v>1998</v>
      </c>
      <c r="D298" s="36">
        <v>0</v>
      </c>
      <c r="E298" s="36">
        <v>0</v>
      </c>
      <c r="F298" s="36">
        <v>1</v>
      </c>
      <c r="G298" s="6">
        <v>0</v>
      </c>
      <c r="H298" s="5" t="s">
        <v>1202</v>
      </c>
      <c r="I298" s="57"/>
    </row>
    <row r="299" spans="1:9" x14ac:dyDescent="0.15">
      <c r="A299" s="62" t="s">
        <v>937</v>
      </c>
      <c r="B299" s="24" t="s">
        <v>827</v>
      </c>
      <c r="C299" s="6">
        <v>1976</v>
      </c>
      <c r="D299" s="6">
        <v>0</v>
      </c>
      <c r="E299" s="6">
        <v>0</v>
      </c>
      <c r="F299" s="6">
        <v>0</v>
      </c>
      <c r="G299" s="6">
        <v>1</v>
      </c>
      <c r="H299" s="5" t="s">
        <v>1137</v>
      </c>
    </row>
    <row r="300" spans="1:9" ht="14" x14ac:dyDescent="0.2">
      <c r="A300" s="62"/>
      <c r="B300" s="24" t="s">
        <v>828</v>
      </c>
      <c r="C300" s="25" t="s">
        <v>1001</v>
      </c>
      <c r="D300" s="25" t="s">
        <v>1001</v>
      </c>
      <c r="E300" s="25" t="s">
        <v>1001</v>
      </c>
      <c r="F300" s="25" t="s">
        <v>1001</v>
      </c>
      <c r="G300" s="25" t="s">
        <v>1001</v>
      </c>
      <c r="H300" s="25" t="s">
        <v>1001</v>
      </c>
    </row>
    <row r="301" spans="1:9" ht="14" x14ac:dyDescent="0.2">
      <c r="A301" s="62"/>
      <c r="B301" s="24" t="s">
        <v>829</v>
      </c>
      <c r="C301" s="25" t="s">
        <v>1001</v>
      </c>
      <c r="D301" s="25" t="s">
        <v>1001</v>
      </c>
      <c r="E301" s="25" t="s">
        <v>1001</v>
      </c>
      <c r="F301" s="25" t="s">
        <v>1001</v>
      </c>
      <c r="G301" s="25" t="s">
        <v>1001</v>
      </c>
      <c r="H301" s="25" t="s">
        <v>1001</v>
      </c>
    </row>
    <row r="302" spans="1:9" x14ac:dyDescent="0.15">
      <c r="A302" s="62" t="s">
        <v>1343</v>
      </c>
      <c r="B302" s="24" t="s">
        <v>904</v>
      </c>
      <c r="C302" s="6">
        <v>1992</v>
      </c>
      <c r="D302" s="6">
        <v>0</v>
      </c>
      <c r="E302" s="6">
        <v>0</v>
      </c>
      <c r="F302" s="6">
        <v>0</v>
      </c>
      <c r="G302" s="6">
        <v>1</v>
      </c>
      <c r="H302" s="5" t="s">
        <v>1137</v>
      </c>
    </row>
    <row r="303" spans="1:9" x14ac:dyDescent="0.15">
      <c r="A303" s="62" t="s">
        <v>1344</v>
      </c>
      <c r="B303" s="24" t="s">
        <v>831</v>
      </c>
      <c r="C303" s="6">
        <v>1990</v>
      </c>
      <c r="D303" s="6">
        <v>0</v>
      </c>
      <c r="E303" s="6">
        <v>1</v>
      </c>
      <c r="F303" s="6">
        <v>0</v>
      </c>
      <c r="G303" s="6">
        <v>0</v>
      </c>
      <c r="H303" s="5" t="s">
        <v>1381</v>
      </c>
    </row>
    <row r="304" spans="1:9" ht="14" x14ac:dyDescent="0.2">
      <c r="A304" s="62"/>
      <c r="B304" s="24" t="s">
        <v>1368</v>
      </c>
      <c r="C304" s="25" t="s">
        <v>1001</v>
      </c>
      <c r="D304" s="25" t="s">
        <v>1001</v>
      </c>
      <c r="E304" s="25" t="s">
        <v>1001</v>
      </c>
      <c r="F304" s="25" t="s">
        <v>1001</v>
      </c>
      <c r="G304" s="25" t="s">
        <v>1001</v>
      </c>
      <c r="H304" s="25" t="s">
        <v>1001</v>
      </c>
    </row>
    <row r="305" spans="1:8" x14ac:dyDescent="0.15">
      <c r="A305" s="62" t="s">
        <v>1345</v>
      </c>
      <c r="B305" s="24" t="s">
        <v>893</v>
      </c>
      <c r="C305" s="6">
        <v>1995</v>
      </c>
      <c r="D305" s="6">
        <v>0</v>
      </c>
      <c r="E305" s="6">
        <v>0</v>
      </c>
      <c r="F305" s="6">
        <v>0</v>
      </c>
      <c r="G305" s="6">
        <v>1</v>
      </c>
      <c r="H305" s="5" t="s">
        <v>1137</v>
      </c>
    </row>
    <row r="306" spans="1:8" ht="15" x14ac:dyDescent="0.2">
      <c r="A306" s="62" t="s">
        <v>1598</v>
      </c>
      <c r="B306" s="24" t="s">
        <v>1599</v>
      </c>
      <c r="C306" s="6">
        <v>2008</v>
      </c>
      <c r="D306" s="6">
        <v>0</v>
      </c>
      <c r="E306" s="6">
        <v>0</v>
      </c>
      <c r="F306" s="6">
        <v>1</v>
      </c>
      <c r="G306" s="6">
        <v>0</v>
      </c>
      <c r="H306" s="8" t="s">
        <v>1137</v>
      </c>
    </row>
    <row r="308" spans="1:8" x14ac:dyDescent="0.15">
      <c r="A308" s="62" t="s">
        <v>1355</v>
      </c>
      <c r="D308" s="6">
        <f>SUM(D5:D306)</f>
        <v>55</v>
      </c>
      <c r="E308" s="6">
        <f>SUM(E5:E306)</f>
        <v>65</v>
      </c>
      <c r="F308" s="6">
        <f>SUM(F5:F306)</f>
        <v>146</v>
      </c>
      <c r="G308" s="6">
        <f>SUM(G5:G306)</f>
        <v>86</v>
      </c>
    </row>
    <row r="309" spans="1:8" x14ac:dyDescent="0.15">
      <c r="A309" s="62" t="s">
        <v>1623</v>
      </c>
      <c r="D309" s="58">
        <f>D308/296</f>
        <v>0.1858108108108108</v>
      </c>
      <c r="E309" s="58">
        <f t="shared" ref="E309:G309" si="0">E308/296</f>
        <v>0.2195945945945946</v>
      </c>
      <c r="F309" s="58">
        <f t="shared" si="0"/>
        <v>0.49324324324324326</v>
      </c>
      <c r="G309" s="58">
        <f t="shared" si="0"/>
        <v>0.29054054054054052</v>
      </c>
    </row>
  </sheetData>
  <pageMargins left="0.7" right="0.7" top="0.75" bottom="0.75" header="0.3" footer="0.3"/>
  <pageSetup orientation="landscape" r:id="rId1"/>
  <headerFooter>
    <oddHeader>&amp;L&amp;D&amp;C&amp;F</oddHead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Company>University of Maine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Ed_Grew</dc:creator>
  <cp:lastModifiedBy>Microsoft Office User</cp:lastModifiedBy>
  <cp:lastPrinted>2017-02-16T21:32:27Z</cp:lastPrinted>
  <dcterms:created xsi:type="dcterms:W3CDTF">2008-11-24T16:38:04Z</dcterms:created>
  <dcterms:modified xsi:type="dcterms:W3CDTF">2017-06-13T17:33:44Z</dcterms:modified>
</cp:coreProperties>
</file>