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2624"/>
  <workbookPr autoCompressPictures="0"/>
  <bookViews>
    <workbookView xWindow="0" yWindow="0" windowWidth="28640" windowHeight="20580"/>
  </bookViews>
  <sheets>
    <sheet name="KL2-G2" sheetId="6" r:id="rId1"/>
    <sheet name="ML3B-G" sheetId="3" r:id="rId2"/>
    <sheet name="BC-28" sheetId="8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53" i="8" l="1"/>
  <c r="R130" i="8"/>
  <c r="R159" i="8"/>
  <c r="Q153" i="8"/>
  <c r="E155" i="8"/>
  <c r="F155" i="8"/>
  <c r="G155" i="8"/>
  <c r="H155" i="8"/>
  <c r="I155" i="8"/>
  <c r="J155" i="8"/>
  <c r="J153" i="8"/>
  <c r="J157" i="8"/>
  <c r="K155" i="8"/>
  <c r="L155" i="8"/>
  <c r="M155" i="8"/>
  <c r="N155" i="8"/>
  <c r="O155" i="8"/>
  <c r="P155" i="8"/>
  <c r="Q155" i="8"/>
  <c r="Q157" i="8"/>
  <c r="R155" i="8"/>
  <c r="E153" i="8"/>
  <c r="F153" i="8"/>
  <c r="G153" i="8"/>
  <c r="H153" i="8"/>
  <c r="I153" i="8"/>
  <c r="K153" i="8"/>
  <c r="L153" i="8"/>
  <c r="M153" i="8"/>
  <c r="N153" i="8"/>
  <c r="O153" i="8"/>
  <c r="P153" i="8"/>
  <c r="E154" i="8"/>
  <c r="E156" i="8"/>
  <c r="F154" i="8"/>
  <c r="F156" i="8"/>
  <c r="G154" i="8"/>
  <c r="H154" i="8"/>
  <c r="I154" i="8"/>
  <c r="I156" i="8"/>
  <c r="J154" i="8"/>
  <c r="J156" i="8"/>
  <c r="K154" i="8"/>
  <c r="L154" i="8"/>
  <c r="M154" i="8"/>
  <c r="M156" i="8"/>
  <c r="N154" i="8"/>
  <c r="O154" i="8"/>
  <c r="P154" i="8"/>
  <c r="P156" i="8"/>
  <c r="Q154" i="8"/>
  <c r="R154" i="8"/>
  <c r="D155" i="8"/>
  <c r="D154" i="8"/>
  <c r="D153" i="8"/>
  <c r="D157" i="8"/>
  <c r="Q156" i="8"/>
  <c r="M157" i="8"/>
  <c r="D156" i="8"/>
  <c r="P157" i="8"/>
  <c r="I157" i="8"/>
  <c r="E157" i="8"/>
  <c r="F157" i="8"/>
  <c r="K157" i="8"/>
  <c r="R157" i="8"/>
  <c r="O156" i="8"/>
  <c r="L156" i="8"/>
  <c r="H156" i="8"/>
  <c r="N157" i="8"/>
  <c r="G157" i="8"/>
  <c r="R156" i="8"/>
  <c r="N156" i="8"/>
  <c r="K156" i="8"/>
  <c r="G156" i="8"/>
  <c r="O157" i="8"/>
  <c r="L157" i="8"/>
  <c r="H157" i="8"/>
  <c r="D130" i="8"/>
  <c r="E130" i="8"/>
  <c r="F130" i="8"/>
  <c r="G130" i="8"/>
  <c r="H130" i="8"/>
  <c r="I130" i="8"/>
  <c r="J130" i="8"/>
  <c r="K130" i="8"/>
  <c r="L130" i="8"/>
  <c r="D131" i="8"/>
  <c r="E131" i="8"/>
  <c r="F131" i="8"/>
  <c r="G131" i="8"/>
  <c r="H131" i="8"/>
  <c r="I131" i="8"/>
  <c r="J131" i="8"/>
  <c r="K131" i="8"/>
  <c r="L131" i="8"/>
  <c r="L137" i="8"/>
  <c r="L159" i="8"/>
  <c r="L144" i="8"/>
  <c r="L150" i="8"/>
  <c r="D137" i="8"/>
  <c r="D150" i="8"/>
  <c r="D159" i="8"/>
  <c r="D144" i="8"/>
  <c r="K137" i="8"/>
  <c r="K144" i="8"/>
  <c r="K150" i="8"/>
  <c r="K159" i="8"/>
  <c r="H137" i="8"/>
  <c r="H159" i="8"/>
  <c r="H144" i="8"/>
  <c r="H150" i="8"/>
  <c r="G137" i="8"/>
  <c r="G144" i="8"/>
  <c r="G150" i="8"/>
  <c r="G159" i="8"/>
  <c r="J137" i="8"/>
  <c r="J150" i="8"/>
  <c r="J159" i="8"/>
  <c r="J144" i="8"/>
  <c r="F137" i="8"/>
  <c r="F150" i="8"/>
  <c r="F159" i="8"/>
  <c r="F144" i="8"/>
  <c r="I137" i="8"/>
  <c r="I159" i="8"/>
  <c r="I144" i="8"/>
  <c r="I150" i="8"/>
  <c r="E137" i="8"/>
  <c r="E159" i="8"/>
  <c r="E144" i="8"/>
  <c r="E150" i="8"/>
  <c r="R131" i="8"/>
  <c r="Q131" i="8"/>
  <c r="P131" i="8"/>
  <c r="O131" i="8"/>
  <c r="N131" i="8"/>
  <c r="M131" i="8"/>
  <c r="Q130" i="8"/>
  <c r="P130" i="8"/>
  <c r="O130" i="8"/>
  <c r="N130" i="8"/>
  <c r="M130" i="8"/>
  <c r="U6" i="6"/>
  <c r="W6" i="6"/>
  <c r="AA6" i="6"/>
  <c r="AD6" i="6"/>
  <c r="AJ6" i="6"/>
  <c r="V6" i="6"/>
  <c r="X6" i="6"/>
  <c r="AE6" i="6"/>
  <c r="AG6" i="6"/>
  <c r="AF6" i="6"/>
  <c r="U7" i="6"/>
  <c r="W7" i="6"/>
  <c r="AA7" i="6"/>
  <c r="AD7" i="6"/>
  <c r="AJ7" i="6"/>
  <c r="V7" i="6"/>
  <c r="X7" i="6"/>
  <c r="AE7" i="6"/>
  <c r="AF7" i="6"/>
  <c r="AH7" i="6"/>
  <c r="U8" i="6"/>
  <c r="W8" i="6"/>
  <c r="V8" i="6"/>
  <c r="X8" i="6"/>
  <c r="AA8" i="6"/>
  <c r="AD8" i="6"/>
  <c r="AE8" i="6"/>
  <c r="AG8" i="6"/>
  <c r="AF8" i="6"/>
  <c r="U9" i="6"/>
  <c r="W9" i="6"/>
  <c r="AD9" i="6"/>
  <c r="AJ9" i="6"/>
  <c r="V9" i="6"/>
  <c r="X9" i="6"/>
  <c r="AE9" i="6"/>
  <c r="AF9" i="6"/>
  <c r="U10" i="6"/>
  <c r="W10" i="6"/>
  <c r="V10" i="6"/>
  <c r="X10" i="6"/>
  <c r="AA10" i="6"/>
  <c r="AD10" i="6"/>
  <c r="AE10" i="6"/>
  <c r="AG10" i="6"/>
  <c r="AF10" i="6"/>
  <c r="U11" i="6"/>
  <c r="W11" i="6"/>
  <c r="AA11" i="6"/>
  <c r="AD11" i="6"/>
  <c r="AJ11" i="6"/>
  <c r="V11" i="6"/>
  <c r="X11" i="6"/>
  <c r="AE11" i="6"/>
  <c r="AF11" i="6"/>
  <c r="AH11" i="6"/>
  <c r="U12" i="6"/>
  <c r="W12" i="6"/>
  <c r="AA12" i="6"/>
  <c r="AD12" i="6"/>
  <c r="AJ12" i="6"/>
  <c r="V12" i="6"/>
  <c r="X12" i="6"/>
  <c r="AE12" i="6"/>
  <c r="AF12" i="6"/>
  <c r="AH12" i="6"/>
  <c r="U13" i="6"/>
  <c r="W13" i="6"/>
  <c r="V13" i="6"/>
  <c r="X13" i="6"/>
  <c r="AA13" i="6"/>
  <c r="AD13" i="6"/>
  <c r="AE13" i="6"/>
  <c r="AG13" i="6"/>
  <c r="AF13" i="6"/>
  <c r="U14" i="6"/>
  <c r="W14" i="6"/>
  <c r="V14" i="6"/>
  <c r="X14" i="6"/>
  <c r="AD14" i="6"/>
  <c r="AE14" i="6"/>
  <c r="AG14" i="6"/>
  <c r="AF14" i="6"/>
  <c r="U15" i="6"/>
  <c r="W15" i="6"/>
  <c r="AA15" i="6"/>
  <c r="AD15" i="6"/>
  <c r="AJ15" i="6"/>
  <c r="V15" i="6"/>
  <c r="X15" i="6"/>
  <c r="AE15" i="6"/>
  <c r="AG15" i="6"/>
  <c r="AF15" i="6"/>
  <c r="W16" i="6"/>
  <c r="X16" i="6"/>
  <c r="AD16" i="6"/>
  <c r="AH16" i="6"/>
  <c r="AG16" i="6"/>
  <c r="W17" i="6"/>
  <c r="AD17" i="6"/>
  <c r="AJ17" i="6"/>
  <c r="X17" i="6"/>
  <c r="AH17" i="6"/>
  <c r="AG17" i="6"/>
  <c r="W18" i="6"/>
  <c r="X18" i="6"/>
  <c r="AD18" i="6"/>
  <c r="AH18" i="6"/>
  <c r="W19" i="6"/>
  <c r="X19" i="6"/>
  <c r="AD19" i="6"/>
  <c r="AG19" i="6"/>
  <c r="AH19" i="6"/>
  <c r="AJ19" i="6"/>
  <c r="W20" i="6"/>
  <c r="X20" i="6"/>
  <c r="AD20" i="6"/>
  <c r="AH20" i="6"/>
  <c r="AG20" i="6"/>
  <c r="W21" i="6"/>
  <c r="AD21" i="6"/>
  <c r="AJ21" i="6"/>
  <c r="X21" i="6"/>
  <c r="AH21" i="6"/>
  <c r="AG21" i="6"/>
  <c r="W22" i="6"/>
  <c r="X22" i="6"/>
  <c r="AD22" i="6"/>
  <c r="AH22" i="6"/>
  <c r="W23" i="6"/>
  <c r="X23" i="6"/>
  <c r="AG23" i="6"/>
  <c r="AH23" i="6"/>
  <c r="AJ23" i="6"/>
  <c r="W24" i="6"/>
  <c r="AD24" i="6"/>
  <c r="AJ24" i="6"/>
  <c r="X24" i="6"/>
  <c r="AG24" i="6"/>
  <c r="AH24" i="6"/>
  <c r="W25" i="6"/>
  <c r="X25" i="6"/>
  <c r="AD25" i="6"/>
  <c r="AG25" i="6"/>
  <c r="W26" i="6"/>
  <c r="AD26" i="6"/>
  <c r="AJ26" i="6"/>
  <c r="X26" i="6"/>
  <c r="AG26" i="6"/>
  <c r="AH26" i="6"/>
  <c r="W27" i="6"/>
  <c r="X27" i="6"/>
  <c r="AD27" i="6"/>
  <c r="AG27" i="6"/>
  <c r="W28" i="6"/>
  <c r="AD28" i="6"/>
  <c r="AJ28" i="6"/>
  <c r="X28" i="6"/>
  <c r="AG28" i="6"/>
  <c r="AH28" i="6"/>
  <c r="W29" i="6"/>
  <c r="AJ29" i="6"/>
  <c r="X29" i="6"/>
  <c r="AG29" i="6"/>
  <c r="AH29" i="6"/>
  <c r="W30" i="6"/>
  <c r="AD30" i="6"/>
  <c r="AJ30" i="6"/>
  <c r="X30" i="6"/>
  <c r="AG30" i="6"/>
  <c r="AH30" i="6"/>
  <c r="W31" i="6"/>
  <c r="X31" i="6"/>
  <c r="AD31" i="6"/>
  <c r="AH31" i="6"/>
  <c r="W32" i="6"/>
  <c r="X32" i="6"/>
  <c r="AD32" i="6"/>
  <c r="AG32" i="6"/>
  <c r="AJ32" i="6"/>
  <c r="W33" i="6"/>
  <c r="X33" i="6"/>
  <c r="AD33" i="6"/>
  <c r="AH33" i="6"/>
  <c r="AG33" i="6"/>
  <c r="W34" i="6"/>
  <c r="AD34" i="6"/>
  <c r="AJ34" i="6"/>
  <c r="X34" i="6"/>
  <c r="AG34" i="6"/>
  <c r="AH34" i="6"/>
  <c r="W35" i="6"/>
  <c r="X35" i="6"/>
  <c r="AD35" i="6"/>
  <c r="AH35" i="6"/>
  <c r="W36" i="6"/>
  <c r="X36" i="6"/>
  <c r="AD36" i="6"/>
  <c r="AG36" i="6"/>
  <c r="AJ36" i="6"/>
  <c r="W37" i="6"/>
  <c r="X37" i="6"/>
  <c r="AD37" i="6"/>
  <c r="AH37" i="6"/>
  <c r="AG37" i="6"/>
  <c r="W38" i="6"/>
  <c r="AD38" i="6"/>
  <c r="AJ38" i="6"/>
  <c r="X38" i="6"/>
  <c r="AG38" i="6"/>
  <c r="AH38" i="6"/>
  <c r="W39" i="6"/>
  <c r="X39" i="6"/>
  <c r="AD39" i="6"/>
  <c r="AH39" i="6"/>
  <c r="W41" i="6"/>
  <c r="X41" i="6"/>
  <c r="AD41" i="6"/>
  <c r="AG41" i="6"/>
  <c r="AJ41" i="6"/>
  <c r="W42" i="6"/>
  <c r="X42" i="6"/>
  <c r="AD42" i="6"/>
  <c r="AH42" i="6"/>
  <c r="AG42" i="6"/>
  <c r="W43" i="6"/>
  <c r="AD43" i="6"/>
  <c r="AJ43" i="6"/>
  <c r="X43" i="6"/>
  <c r="AG43" i="6"/>
  <c r="AH43" i="6"/>
  <c r="W45" i="6"/>
  <c r="X45" i="6"/>
  <c r="AD45" i="6"/>
  <c r="AH45" i="6"/>
  <c r="W46" i="6"/>
  <c r="X46" i="6"/>
  <c r="AD46" i="6"/>
  <c r="AG46" i="6"/>
  <c r="AJ46" i="6"/>
  <c r="W47" i="6"/>
  <c r="X47" i="6"/>
  <c r="AD47" i="6"/>
  <c r="AH47" i="6"/>
  <c r="AG47" i="6"/>
  <c r="W49" i="6"/>
  <c r="AD49" i="6"/>
  <c r="AJ49" i="6"/>
  <c r="X49" i="6"/>
  <c r="AG49" i="6"/>
  <c r="AH49" i="6"/>
  <c r="W50" i="6"/>
  <c r="X50" i="6"/>
  <c r="AD50" i="6"/>
  <c r="AH50" i="6"/>
  <c r="W51" i="6"/>
  <c r="X51" i="6"/>
  <c r="AD51" i="6"/>
  <c r="AG51" i="6"/>
  <c r="AJ51" i="6"/>
  <c r="W52" i="6"/>
  <c r="X52" i="6"/>
  <c r="AD52" i="6"/>
  <c r="AH52" i="6"/>
  <c r="AG52" i="6"/>
  <c r="W53" i="6"/>
  <c r="AD53" i="6"/>
  <c r="AJ53" i="6"/>
  <c r="X53" i="6"/>
  <c r="AG53" i="6"/>
  <c r="AH53" i="6"/>
  <c r="W54" i="6"/>
  <c r="X54" i="6"/>
  <c r="AD54" i="6"/>
  <c r="AH54" i="6"/>
  <c r="W55" i="6"/>
  <c r="X55" i="6"/>
  <c r="AD55" i="6"/>
  <c r="AG55" i="6"/>
  <c r="AJ55" i="6"/>
  <c r="W57" i="6"/>
  <c r="X57" i="6"/>
  <c r="AD57" i="6"/>
  <c r="AH57" i="6"/>
  <c r="AG57" i="6"/>
  <c r="W58" i="6"/>
  <c r="X58" i="6"/>
  <c r="AG58" i="6"/>
  <c r="AH58" i="6"/>
  <c r="AJ58" i="6"/>
  <c r="W59" i="6"/>
  <c r="X59" i="6"/>
  <c r="AD59" i="6"/>
  <c r="AH59" i="6"/>
  <c r="U6" i="3"/>
  <c r="W6" i="3"/>
  <c r="AA6" i="3"/>
  <c r="AD6" i="3"/>
  <c r="AJ6" i="3"/>
  <c r="V6" i="3"/>
  <c r="X6" i="3"/>
  <c r="AE6" i="3"/>
  <c r="AG6" i="3"/>
  <c r="AF6" i="3"/>
  <c r="U7" i="3"/>
  <c r="W7" i="3"/>
  <c r="V7" i="3"/>
  <c r="X7" i="3"/>
  <c r="AA7" i="3"/>
  <c r="AD7" i="3"/>
  <c r="AE7" i="3"/>
  <c r="AG7" i="3"/>
  <c r="AF7" i="3"/>
  <c r="U8" i="3"/>
  <c r="W8" i="3"/>
  <c r="V8" i="3"/>
  <c r="X8" i="3"/>
  <c r="AA8" i="3"/>
  <c r="AD8" i="3"/>
  <c r="AE8" i="3"/>
  <c r="AG8" i="3"/>
  <c r="AF8" i="3"/>
  <c r="AH8" i="3"/>
  <c r="U9" i="3"/>
  <c r="V9" i="3"/>
  <c r="X9" i="3"/>
  <c r="W9" i="3"/>
  <c r="AD9" i="3"/>
  <c r="AJ9" i="3"/>
  <c r="AE9" i="3"/>
  <c r="AG9" i="3"/>
  <c r="AF9" i="3"/>
  <c r="AH9" i="3"/>
  <c r="U10" i="3"/>
  <c r="W10" i="3"/>
  <c r="V10" i="3"/>
  <c r="X10" i="3"/>
  <c r="AA10" i="3"/>
  <c r="AD10" i="3"/>
  <c r="AE10" i="3"/>
  <c r="AF10" i="3"/>
  <c r="U11" i="3"/>
  <c r="W11" i="3"/>
  <c r="V11" i="3"/>
  <c r="X11" i="3"/>
  <c r="AA11" i="3"/>
  <c r="AD11" i="3"/>
  <c r="AE11" i="3"/>
  <c r="AF11" i="3"/>
  <c r="U12" i="3"/>
  <c r="V12" i="3"/>
  <c r="X12" i="3"/>
  <c r="W12" i="3"/>
  <c r="AD12" i="3"/>
  <c r="AE12" i="3"/>
  <c r="AG12" i="3"/>
  <c r="AF12" i="3"/>
  <c r="U13" i="3"/>
  <c r="W13" i="3"/>
  <c r="AA13" i="3"/>
  <c r="AD13" i="3"/>
  <c r="AJ13" i="3"/>
  <c r="V13" i="3"/>
  <c r="X13" i="3"/>
  <c r="AE13" i="3"/>
  <c r="AF13" i="3"/>
  <c r="AH13" i="3"/>
  <c r="U14" i="3"/>
  <c r="W14" i="3"/>
  <c r="V14" i="3"/>
  <c r="X14" i="3"/>
  <c r="AA14" i="3"/>
  <c r="AD14" i="3"/>
  <c r="AE14" i="3"/>
  <c r="AG14" i="3"/>
  <c r="AF14" i="3"/>
  <c r="U15" i="3"/>
  <c r="W15" i="3"/>
  <c r="AA15" i="3"/>
  <c r="AD15" i="3"/>
  <c r="AJ15" i="3"/>
  <c r="V15" i="3"/>
  <c r="X15" i="3"/>
  <c r="AE15" i="3"/>
  <c r="AG15" i="3"/>
  <c r="AF15" i="3"/>
  <c r="W16" i="3"/>
  <c r="X16" i="3"/>
  <c r="AD16" i="3"/>
  <c r="AH16" i="3"/>
  <c r="AG16" i="3"/>
  <c r="W17" i="3"/>
  <c r="AD17" i="3"/>
  <c r="AJ17" i="3"/>
  <c r="X17" i="3"/>
  <c r="AH17" i="3"/>
  <c r="AG17" i="3"/>
  <c r="W18" i="3"/>
  <c r="X18" i="3"/>
  <c r="AD18" i="3"/>
  <c r="AH18" i="3"/>
  <c r="W19" i="3"/>
  <c r="X19" i="3"/>
  <c r="AD19" i="3"/>
  <c r="AG19" i="3"/>
  <c r="AH19" i="3"/>
  <c r="AJ19" i="3"/>
  <c r="W20" i="3"/>
  <c r="X20" i="3"/>
  <c r="AD20" i="3"/>
  <c r="AH20" i="3"/>
  <c r="AG20" i="3"/>
  <c r="W21" i="3"/>
  <c r="AD21" i="3"/>
  <c r="AJ21" i="3"/>
  <c r="X21" i="3"/>
  <c r="AH21" i="3"/>
  <c r="AG21" i="3"/>
  <c r="W22" i="3"/>
  <c r="X22" i="3"/>
  <c r="AD22" i="3"/>
  <c r="AH22" i="3"/>
  <c r="W23" i="3"/>
  <c r="X23" i="3"/>
  <c r="AD23" i="3"/>
  <c r="AG23" i="3"/>
  <c r="AH23" i="3"/>
  <c r="AJ23" i="3"/>
  <c r="W24" i="3"/>
  <c r="X24" i="3"/>
  <c r="AG24" i="3"/>
  <c r="AH24" i="3"/>
  <c r="AJ24" i="3"/>
  <c r="W25" i="3"/>
  <c r="X25" i="3"/>
  <c r="AD25" i="3"/>
  <c r="AG25" i="3"/>
  <c r="W26" i="3"/>
  <c r="X26" i="3"/>
  <c r="AD26" i="3"/>
  <c r="AH26" i="3"/>
  <c r="AG26" i="3"/>
  <c r="W27" i="3"/>
  <c r="X27" i="3"/>
  <c r="AD27" i="3"/>
  <c r="AG27" i="3"/>
  <c r="W28" i="3"/>
  <c r="X28" i="3"/>
  <c r="AD28" i="3"/>
  <c r="AH28" i="3"/>
  <c r="AG28" i="3"/>
  <c r="W29" i="3"/>
  <c r="X29" i="3"/>
  <c r="AD29" i="3"/>
  <c r="AG29" i="3"/>
  <c r="W30" i="3"/>
  <c r="X30" i="3"/>
  <c r="AD30" i="3"/>
  <c r="AH30" i="3"/>
  <c r="AG30" i="3"/>
  <c r="W31" i="3"/>
  <c r="X31" i="3"/>
  <c r="AD31" i="3"/>
  <c r="AG31" i="3"/>
  <c r="W32" i="3"/>
  <c r="X32" i="3"/>
  <c r="AD32" i="3"/>
  <c r="AH32" i="3"/>
  <c r="AG32" i="3"/>
  <c r="W33" i="3"/>
  <c r="X33" i="3"/>
  <c r="AD33" i="3"/>
  <c r="AG33" i="3"/>
  <c r="W34" i="3"/>
  <c r="X34" i="3"/>
  <c r="AD34" i="3"/>
  <c r="AH34" i="3"/>
  <c r="AG34" i="3"/>
  <c r="W35" i="3"/>
  <c r="X35" i="3"/>
  <c r="AD35" i="3"/>
  <c r="AG35" i="3"/>
  <c r="W36" i="3"/>
  <c r="AJ36" i="3"/>
  <c r="X36" i="3"/>
  <c r="AG36" i="3"/>
  <c r="AH36" i="3"/>
  <c r="W37" i="3"/>
  <c r="X37" i="3"/>
  <c r="AD37" i="3"/>
  <c r="AH37" i="3"/>
  <c r="AG37" i="3"/>
  <c r="W38" i="3"/>
  <c r="X38" i="3"/>
  <c r="AD38" i="3"/>
  <c r="AH38" i="3"/>
  <c r="AG38" i="3"/>
  <c r="W39" i="3"/>
  <c r="X39" i="3"/>
  <c r="AD39" i="3"/>
  <c r="AH39" i="3"/>
  <c r="AG39" i="3"/>
  <c r="W41" i="3"/>
  <c r="X41" i="3"/>
  <c r="AD41" i="3"/>
  <c r="AG41" i="3"/>
  <c r="AH41" i="3"/>
  <c r="AJ41" i="3"/>
  <c r="W42" i="3"/>
  <c r="X42" i="3"/>
  <c r="AD42" i="3"/>
  <c r="AH42" i="3"/>
  <c r="AG42" i="3"/>
  <c r="W43" i="3"/>
  <c r="X43" i="3"/>
  <c r="AD43" i="3"/>
  <c r="AH43" i="3"/>
  <c r="AG43" i="3"/>
  <c r="W45" i="3"/>
  <c r="X45" i="3"/>
  <c r="AD45" i="3"/>
  <c r="AH45" i="3"/>
  <c r="AG45" i="3"/>
  <c r="W46" i="3"/>
  <c r="X46" i="3"/>
  <c r="AD46" i="3"/>
  <c r="AG46" i="3"/>
  <c r="AH46" i="3"/>
  <c r="AJ46" i="3"/>
  <c r="W47" i="3"/>
  <c r="X47" i="3"/>
  <c r="AG47" i="3"/>
  <c r="AH47" i="3"/>
  <c r="AJ47" i="3"/>
  <c r="W49" i="3"/>
  <c r="X49" i="3"/>
  <c r="AD49" i="3"/>
  <c r="AG49" i="3"/>
  <c r="W50" i="3"/>
  <c r="X50" i="3"/>
  <c r="AD50" i="3"/>
  <c r="AH50" i="3"/>
  <c r="AG50" i="3"/>
  <c r="W51" i="3"/>
  <c r="X51" i="3"/>
  <c r="AD51" i="3"/>
  <c r="AG51" i="3"/>
  <c r="W52" i="3"/>
  <c r="X52" i="3"/>
  <c r="AD52" i="3"/>
  <c r="AH52" i="3"/>
  <c r="AG52" i="3"/>
  <c r="W53" i="3"/>
  <c r="X53" i="3"/>
  <c r="AD53" i="3"/>
  <c r="AG53" i="3"/>
  <c r="W54" i="3"/>
  <c r="X54" i="3"/>
  <c r="AD54" i="3"/>
  <c r="AH54" i="3"/>
  <c r="AG54" i="3"/>
  <c r="W55" i="3"/>
  <c r="X55" i="3"/>
  <c r="AD55" i="3"/>
  <c r="AG55" i="3"/>
  <c r="W57" i="3"/>
  <c r="X57" i="3"/>
  <c r="AD57" i="3"/>
  <c r="AH57" i="3"/>
  <c r="AG57" i="3"/>
  <c r="W58" i="3"/>
  <c r="X58" i="3"/>
  <c r="AG58" i="3"/>
  <c r="AH58" i="3"/>
  <c r="AJ58" i="3"/>
  <c r="W59" i="3"/>
  <c r="X59" i="3"/>
  <c r="AD59" i="3"/>
  <c r="AG59" i="3"/>
  <c r="AH59" i="3"/>
  <c r="AJ59" i="3"/>
  <c r="AG11" i="3"/>
  <c r="AH11" i="3"/>
  <c r="AH15" i="3"/>
  <c r="AJ12" i="3"/>
  <c r="AG10" i="3"/>
  <c r="AJ8" i="3"/>
  <c r="AH6" i="3"/>
  <c r="AJ43" i="3"/>
  <c r="AJ38" i="3"/>
  <c r="AG22" i="3"/>
  <c r="AG18" i="3"/>
  <c r="AG13" i="3"/>
  <c r="AH12" i="3"/>
  <c r="AJ11" i="3"/>
  <c r="AH14" i="3"/>
  <c r="AJ57" i="3"/>
  <c r="AJ54" i="3"/>
  <c r="AJ52" i="3"/>
  <c r="AJ50" i="3"/>
  <c r="AJ34" i="3"/>
  <c r="AJ32" i="3"/>
  <c r="AJ30" i="3"/>
  <c r="AJ28" i="3"/>
  <c r="AJ26" i="3"/>
  <c r="AJ14" i="3"/>
  <c r="AJ7" i="3"/>
  <c r="AJ13" i="6"/>
  <c r="AG59" i="6"/>
  <c r="AJ14" i="6"/>
  <c r="AH9" i="6"/>
  <c r="AJ8" i="6"/>
  <c r="AH6" i="6"/>
  <c r="AH55" i="6"/>
  <c r="AH51" i="6"/>
  <c r="AH46" i="6"/>
  <c r="AH41" i="6"/>
  <c r="AH36" i="6"/>
  <c r="AH32" i="6"/>
  <c r="AH15" i="6"/>
  <c r="AH14" i="6"/>
  <c r="AH13" i="6"/>
  <c r="AG12" i="6"/>
  <c r="AG11" i="6"/>
  <c r="AG9" i="6"/>
  <c r="AH8" i="6"/>
  <c r="AJ59" i="6"/>
  <c r="AG54" i="6"/>
  <c r="AG50" i="6"/>
  <c r="AG45" i="6"/>
  <c r="AG39" i="6"/>
  <c r="AG35" i="6"/>
  <c r="AG31" i="6"/>
  <c r="AG22" i="6"/>
  <c r="AG18" i="6"/>
  <c r="AG7" i="6"/>
  <c r="O144" i="8"/>
  <c r="O137" i="8"/>
  <c r="O150" i="8"/>
  <c r="O159" i="8"/>
  <c r="Q159" i="8"/>
  <c r="Q137" i="8"/>
  <c r="Q150" i="8"/>
  <c r="P159" i="8"/>
  <c r="P144" i="8"/>
  <c r="P137" i="8"/>
  <c r="P150" i="8"/>
  <c r="R150" i="8"/>
  <c r="R137" i="8"/>
  <c r="M137" i="8"/>
  <c r="M159" i="8"/>
  <c r="M144" i="8"/>
  <c r="M150" i="8"/>
  <c r="N150" i="8"/>
  <c r="N159" i="8"/>
  <c r="N144" i="8"/>
  <c r="N137" i="8"/>
  <c r="AH10" i="6"/>
  <c r="AJ10" i="6"/>
  <c r="AH27" i="6"/>
  <c r="AH25" i="6"/>
  <c r="AJ22" i="6"/>
  <c r="AJ20" i="6"/>
  <c r="AJ18" i="6"/>
  <c r="AJ16" i="6"/>
  <c r="AJ27" i="6"/>
  <c r="AJ25" i="6"/>
  <c r="AJ57" i="6"/>
  <c r="AJ54" i="6"/>
  <c r="AJ52" i="6"/>
  <c r="AJ50" i="6"/>
  <c r="AJ47" i="6"/>
  <c r="AJ45" i="6"/>
  <c r="AJ42" i="6"/>
  <c r="AJ39" i="6"/>
  <c r="AJ37" i="6"/>
  <c r="AJ35" i="6"/>
  <c r="AJ33" i="6"/>
  <c r="AJ31" i="6"/>
  <c r="AH7" i="3"/>
  <c r="AH10" i="3"/>
  <c r="AJ10" i="3"/>
  <c r="AJ53" i="3"/>
  <c r="AJ49" i="3"/>
  <c r="AJ33" i="3"/>
  <c r="AJ29" i="3"/>
  <c r="AJ25" i="3"/>
  <c r="AH55" i="3"/>
  <c r="AH53" i="3"/>
  <c r="AH51" i="3"/>
  <c r="AH49" i="3"/>
  <c r="AJ45" i="3"/>
  <c r="AJ42" i="3"/>
  <c r="AJ39" i="3"/>
  <c r="AJ37" i="3"/>
  <c r="AH35" i="3"/>
  <c r="AH33" i="3"/>
  <c r="AH31" i="3"/>
  <c r="AH29" i="3"/>
  <c r="AH27" i="3"/>
  <c r="AH25" i="3"/>
  <c r="AJ22" i="3"/>
  <c r="AJ20" i="3"/>
  <c r="AJ18" i="3"/>
  <c r="AJ16" i="3"/>
  <c r="AJ55" i="3"/>
  <c r="AJ51" i="3"/>
  <c r="AJ35" i="3"/>
  <c r="AJ31" i="3"/>
  <c r="AJ27" i="3"/>
</calcChain>
</file>

<file path=xl/sharedStrings.xml><?xml version="1.0" encoding="utf-8"?>
<sst xmlns="http://schemas.openxmlformats.org/spreadsheetml/2006/main" count="801" uniqueCount="292">
  <si>
    <t>Na2O</t>
  </si>
  <si>
    <t>MgO</t>
  </si>
  <si>
    <t>Al2O3</t>
  </si>
  <si>
    <t>SiO2</t>
  </si>
  <si>
    <t>P2O5</t>
  </si>
  <si>
    <t>K2O</t>
  </si>
  <si>
    <t>CaO</t>
  </si>
  <si>
    <t>TiO2</t>
  </si>
  <si>
    <t>MnO</t>
  </si>
  <si>
    <t>FeO</t>
  </si>
  <si>
    <t>Li</t>
  </si>
  <si>
    <t>Be</t>
  </si>
  <si>
    <t>B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</si>
  <si>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</si>
  <si>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</si>
  <si>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</si>
  <si>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</si>
  <si>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</si>
  <si>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</si>
  <si>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</si>
  <si>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</si>
  <si>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</si>
  <si>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</si>
  <si>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</si>
  <si>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</si>
  <si>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</si>
  <si>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</si>
  <si>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</si>
  <si>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</si>
  <si>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</si>
  <si>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</si>
  <si>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</si>
  <si>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</si>
  <si>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</si>
  <si>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</si>
  <si>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</si>
  <si>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</si>
  <si>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</si>
  <si>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</si>
  <si>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</si>
  <si>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</si>
  <si>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</si>
  <si>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</si>
  <si>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</si>
  <si>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</si>
  <si>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</si>
  <si>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</si>
  <si>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Pb</t>
  </si>
  <si>
    <t>Th</t>
  </si>
  <si>
    <t>U</t>
  </si>
  <si>
    <t/>
  </si>
  <si>
    <t>JL19A06</t>
  </si>
  <si>
    <t>JL19A32</t>
  </si>
  <si>
    <t>AG27A06</t>
  </si>
  <si>
    <t>AG27A40</t>
  </si>
  <si>
    <t>AG27B06</t>
  </si>
  <si>
    <t>AG27B39</t>
  </si>
  <si>
    <t>AG27C06</t>
  </si>
  <si>
    <t>AG27C40</t>
  </si>
  <si>
    <t>AG27D06</t>
  </si>
  <si>
    <t>AG27D40</t>
  </si>
  <si>
    <t>AG28A06</t>
  </si>
  <si>
    <t>AG28A43</t>
  </si>
  <si>
    <t>AG28B06</t>
  </si>
  <si>
    <t>AG28B48</t>
  </si>
  <si>
    <t>AG28C06</t>
  </si>
  <si>
    <t>AG28C40</t>
  </si>
  <si>
    <t>AG28D06</t>
  </si>
  <si>
    <t>AG28D39</t>
  </si>
  <si>
    <t>JL19A07</t>
  </si>
  <si>
    <t>JL19A33</t>
  </si>
  <si>
    <t>AG27A07</t>
  </si>
  <si>
    <t>AG27A41</t>
  </si>
  <si>
    <t>AG27B07</t>
  </si>
  <si>
    <t>AG27B40</t>
  </si>
  <si>
    <t>AG27C07</t>
  </si>
  <si>
    <t>AG27C41</t>
  </si>
  <si>
    <t>AG27D07</t>
  </si>
  <si>
    <t>AG27D41</t>
  </si>
  <si>
    <t>AG28A07</t>
  </si>
  <si>
    <t>AG28A44</t>
  </si>
  <si>
    <t>AG28B07</t>
  </si>
  <si>
    <t>AG28B49</t>
  </si>
  <si>
    <t>AG28C07</t>
  </si>
  <si>
    <t>AG28C41</t>
  </si>
  <si>
    <t>AG28D07</t>
  </si>
  <si>
    <t>AG28D40</t>
  </si>
  <si>
    <t>QC KL2</t>
  </si>
  <si>
    <t>QC ML3B</t>
  </si>
  <si>
    <t>SD</t>
    <phoneticPr fontId="1" type="noConversion"/>
  </si>
  <si>
    <t>SD</t>
    <phoneticPr fontId="5" type="noConversion"/>
  </si>
  <si>
    <t>Average (n=18)</t>
    <phoneticPr fontId="5" type="noConversion"/>
  </si>
  <si>
    <t>wt%</t>
  </si>
  <si>
    <t>FeO(t)</t>
    <phoneticPr fontId="5" type="noConversion"/>
  </si>
  <si>
    <t>ppm</t>
  </si>
  <si>
    <t>Element</t>
  </si>
  <si>
    <t>Stdev</t>
  </si>
  <si>
    <t>Average (n=11)</t>
  </si>
  <si>
    <t>D.L.</t>
  </si>
  <si>
    <t>Mg_ppm_m25</t>
  </si>
  <si>
    <t>24Mg</t>
  </si>
  <si>
    <t>INAA</t>
  </si>
  <si>
    <t>Al_ppm_m27</t>
  </si>
  <si>
    <t>27Al</t>
  </si>
  <si>
    <t>25Mg</t>
  </si>
  <si>
    <t>45Sc</t>
  </si>
  <si>
    <t>47Ti</t>
  </si>
  <si>
    <t>Sc_ppm_m45</t>
  </si>
  <si>
    <t>Ti_ppm_m47</t>
  </si>
  <si>
    <t>51V</t>
  </si>
  <si>
    <t>V_ppm_m51</t>
  </si>
  <si>
    <t>52Cr</t>
  </si>
  <si>
    <t>Cr_ppm_m53</t>
  </si>
  <si>
    <t>Mn_ppm_m55</t>
  </si>
  <si>
    <t>55Mn</t>
  </si>
  <si>
    <t>Co_ppm_m59</t>
  </si>
  <si>
    <t>59Co</t>
  </si>
  <si>
    <t>Ni_ppm_m60</t>
  </si>
  <si>
    <t>60Ni</t>
  </si>
  <si>
    <t>Zn_ppm_m66</t>
  </si>
  <si>
    <t>66Zn</t>
  </si>
  <si>
    <t>Ga_ppm_m71</t>
  </si>
  <si>
    <t>71Ga</t>
  </si>
  <si>
    <t>LA</t>
  </si>
  <si>
    <t>(MASS-1)</t>
  </si>
  <si>
    <t>(BCR2g)</t>
  </si>
  <si>
    <t>93Nb</t>
  </si>
  <si>
    <t>Zr_ppm_m91</t>
  </si>
  <si>
    <t>92Zr</t>
  </si>
  <si>
    <t>Nb_ppm_m93</t>
  </si>
  <si>
    <t>Hf_ppm_m178</t>
  </si>
  <si>
    <t>178Hf</t>
  </si>
  <si>
    <t>Ta_ppm_m181</t>
  </si>
  <si>
    <t>181Ta</t>
  </si>
  <si>
    <t>Source file</t>
  </si>
  <si>
    <t>Comments</t>
  </si>
  <si>
    <t>KL2-G</t>
    <phoneticPr fontId="5" type="noConversion"/>
  </si>
  <si>
    <t>min</t>
    <phoneticPr fontId="1" type="noConversion"/>
  </si>
  <si>
    <t>max</t>
    <phoneticPr fontId="1" type="noConversion"/>
  </si>
  <si>
    <t>preferred</t>
    <phoneticPr fontId="1" type="noConversion"/>
  </si>
  <si>
    <t>% RSD</t>
    <phoneticPr fontId="1" type="noConversion"/>
  </si>
  <si>
    <r>
      <t>TiO</t>
    </r>
    <r>
      <rPr>
        <vertAlign val="subscript"/>
        <sz val="9"/>
        <color indexed="10"/>
        <rFont val="Times New Roman"/>
        <family val="1"/>
      </rPr>
      <t>2</t>
    </r>
    <phoneticPr fontId="5" type="noConversion"/>
  </si>
  <si>
    <r>
      <t>Al</t>
    </r>
    <r>
      <rPr>
        <vertAlign val="subscript"/>
        <sz val="9"/>
        <color indexed="10"/>
        <rFont val="Times New Roman"/>
        <family val="1"/>
      </rPr>
      <t>2</t>
    </r>
    <r>
      <rPr>
        <sz val="9"/>
        <color indexed="10"/>
        <rFont val="Times New Roman"/>
        <family val="1"/>
      </rPr>
      <t>O</t>
    </r>
    <r>
      <rPr>
        <vertAlign val="subscript"/>
        <sz val="9"/>
        <color indexed="10"/>
        <rFont val="Times New Roman"/>
        <family val="1"/>
      </rPr>
      <t>3</t>
    </r>
    <phoneticPr fontId="5" type="noConversion"/>
  </si>
  <si>
    <r>
      <t>Na</t>
    </r>
    <r>
      <rPr>
        <vertAlign val="subscript"/>
        <sz val="9"/>
        <color indexed="10"/>
        <rFont val="Times New Roman"/>
        <family val="1"/>
      </rPr>
      <t>2</t>
    </r>
    <r>
      <rPr>
        <sz val="9"/>
        <color indexed="10"/>
        <rFont val="Times New Roman"/>
        <family val="1"/>
      </rPr>
      <t>O</t>
    </r>
    <phoneticPr fontId="5" type="noConversion"/>
  </si>
  <si>
    <r>
      <t>K</t>
    </r>
    <r>
      <rPr>
        <vertAlign val="subscript"/>
        <sz val="9"/>
        <color indexed="10"/>
        <rFont val="Times New Roman"/>
        <family val="1"/>
      </rPr>
      <t>2</t>
    </r>
    <r>
      <rPr>
        <sz val="9"/>
        <color indexed="10"/>
        <rFont val="Times New Roman"/>
        <family val="1"/>
      </rPr>
      <t>O</t>
    </r>
    <phoneticPr fontId="5" type="noConversion"/>
  </si>
  <si>
    <r>
      <t>P</t>
    </r>
    <r>
      <rPr>
        <vertAlign val="subscript"/>
        <sz val="9"/>
        <color indexed="10"/>
        <rFont val="Times New Roman"/>
        <family val="1"/>
      </rPr>
      <t>2</t>
    </r>
    <r>
      <rPr>
        <sz val="9"/>
        <color indexed="10"/>
        <rFont val="Times New Roman"/>
        <family val="1"/>
      </rPr>
      <t>O</t>
    </r>
    <r>
      <rPr>
        <vertAlign val="subscript"/>
        <sz val="9"/>
        <color indexed="10"/>
        <rFont val="Times New Roman"/>
        <family val="1"/>
      </rPr>
      <t>5</t>
    </r>
    <phoneticPr fontId="5" type="noConversion"/>
  </si>
  <si>
    <t>min error</t>
    <phoneticPr fontId="1" type="noConversion"/>
  </si>
  <si>
    <t>max error</t>
    <phoneticPr fontId="1" type="noConversion"/>
  </si>
  <si>
    <t>KL2-G (values from the GeoREM database)</t>
    <phoneticPr fontId="1" type="noConversion"/>
  </si>
  <si>
    <t>ML3B-G</t>
    <phoneticPr fontId="5" type="noConversion"/>
  </si>
  <si>
    <t>ML3B-G (values from the GeoREM database)</t>
    <phoneticPr fontId="1" type="noConversion"/>
  </si>
  <si>
    <t>140318A05.D</t>
  </si>
  <si>
    <t>140318A15.D</t>
  </si>
  <si>
    <t>140318A27.D</t>
  </si>
  <si>
    <t>140318A35.D</t>
  </si>
  <si>
    <t>140318A46.D</t>
  </si>
  <si>
    <t>140318A55.D</t>
  </si>
  <si>
    <t>140318A66.D</t>
  </si>
  <si>
    <t>140318B05.D</t>
  </si>
  <si>
    <t>140318B13.D</t>
  </si>
  <si>
    <t>140318B21.D</t>
  </si>
  <si>
    <t>140318B29.D</t>
  </si>
  <si>
    <t>140318B37.D</t>
  </si>
  <si>
    <t>140318B45.D</t>
  </si>
  <si>
    <t>140318B53.D</t>
  </si>
  <si>
    <t>140318B60.D</t>
  </si>
  <si>
    <t>140318C05.D</t>
  </si>
  <si>
    <t>140318C13.D</t>
  </si>
  <si>
    <t>140318C21.D</t>
  </si>
  <si>
    <t>140318C29.D</t>
  </si>
  <si>
    <t>140318C36.D</t>
  </si>
  <si>
    <t>140317A05.D</t>
  </si>
  <si>
    <t>140317A13.D</t>
  </si>
  <si>
    <t>140317A21.D</t>
  </si>
  <si>
    <t>140317A29.D</t>
  </si>
  <si>
    <t>140317A37.D</t>
  </si>
  <si>
    <t>140317A47.D</t>
  </si>
  <si>
    <t>140317A55.D</t>
  </si>
  <si>
    <t>140317B05.D</t>
  </si>
  <si>
    <t>140317B13.D</t>
  </si>
  <si>
    <t>140317B21.D</t>
  </si>
  <si>
    <t>140317B32.D</t>
  </si>
  <si>
    <t>140320A05.D</t>
  </si>
  <si>
    <t>140320A13.D</t>
  </si>
  <si>
    <t>140320A21.D</t>
  </si>
  <si>
    <t>140320A29.D</t>
  </si>
  <si>
    <t>140320A37.D</t>
  </si>
  <si>
    <t>140320A45.D</t>
  </si>
  <si>
    <t>140320A53.D</t>
  </si>
  <si>
    <t>140320A63.D</t>
  </si>
  <si>
    <t>140320A72.D</t>
  </si>
  <si>
    <t>140320B05.D</t>
  </si>
  <si>
    <t>140320B23.D</t>
  </si>
  <si>
    <t>140320B32.D</t>
  </si>
  <si>
    <t>140320B43.D</t>
  </si>
  <si>
    <t>140320B60.D</t>
  </si>
  <si>
    <t>140312A05.D</t>
  </si>
  <si>
    <t>140312A13.D</t>
  </si>
  <si>
    <t>140312A21.D</t>
  </si>
  <si>
    <t>140312A26.D</t>
  </si>
  <si>
    <t>140312A34.D</t>
  </si>
  <si>
    <t>140312A42.D</t>
  </si>
  <si>
    <t>140312A50.D</t>
  </si>
  <si>
    <t>140312A57.D</t>
  </si>
  <si>
    <t>140312B05.D</t>
  </si>
  <si>
    <t>140312B13.D</t>
  </si>
  <si>
    <t>140312B21.D</t>
  </si>
  <si>
    <t>140312B29.D</t>
  </si>
  <si>
    <t>140312B37.D</t>
  </si>
  <si>
    <t>140312B45.D</t>
  </si>
  <si>
    <t>140312B52.D</t>
  </si>
  <si>
    <t>140312C05.D</t>
  </si>
  <si>
    <t>140312C13.D</t>
  </si>
  <si>
    <t>140312C21.D</t>
  </si>
  <si>
    <t>140312C29.D</t>
  </si>
  <si>
    <t>140312C43.D</t>
  </si>
  <si>
    <t>14031A05.D</t>
  </si>
  <si>
    <t>14031A13.D</t>
  </si>
  <si>
    <t>14031A21.D</t>
  </si>
  <si>
    <t>14031A29.D</t>
  </si>
  <si>
    <t>14031A37.D</t>
  </si>
  <si>
    <t>14031A45.D</t>
  </si>
  <si>
    <t>14031A53.D</t>
  </si>
  <si>
    <t>14031A60.D</t>
  </si>
  <si>
    <t>14031B05.D</t>
  </si>
  <si>
    <t>14031B21.D</t>
  </si>
  <si>
    <t>14031B29.D</t>
  </si>
  <si>
    <t>14031B37.D</t>
  </si>
  <si>
    <t>14031B45.D</t>
  </si>
  <si>
    <t>14031B53.D</t>
  </si>
  <si>
    <t>14031B60.D</t>
  </si>
  <si>
    <t>14031B69.D</t>
  </si>
  <si>
    <t>14031B77.D</t>
  </si>
  <si>
    <t>14031B97.D</t>
  </si>
  <si>
    <t>140305A05.D</t>
  </si>
  <si>
    <t>140305A13.D</t>
  </si>
  <si>
    <t>140305A21.D</t>
  </si>
  <si>
    <t>140305A29.D</t>
  </si>
  <si>
    <t>140305A36.D</t>
  </si>
  <si>
    <t>140305B05.D</t>
  </si>
  <si>
    <t>140305B13.D</t>
  </si>
  <si>
    <t>140305B21.D</t>
  </si>
  <si>
    <t>140305B42.D</t>
  </si>
  <si>
    <t>140305C05.D</t>
  </si>
  <si>
    <t>140305C13.D</t>
  </si>
  <si>
    <t>140305C28.D</t>
  </si>
  <si>
    <t>140305C42.D</t>
  </si>
  <si>
    <t>140305D05.D</t>
  </si>
  <si>
    <t>140305D20.D</t>
  </si>
  <si>
    <t>140305D41.D</t>
  </si>
  <si>
    <t>140307A05.D</t>
  </si>
  <si>
    <t>140307A13.D</t>
  </si>
  <si>
    <t>140307A21.D</t>
  </si>
  <si>
    <t>140307A36.D</t>
  </si>
  <si>
    <t>140307A43.D</t>
  </si>
  <si>
    <t>140307B05.D</t>
  </si>
  <si>
    <t>140307B13.D</t>
  </si>
  <si>
    <t>140307B28.D</t>
  </si>
  <si>
    <t>140307B43.D</t>
  </si>
  <si>
    <t>140307B56.D</t>
  </si>
  <si>
    <t>140308A05.D</t>
  </si>
  <si>
    <t>140308A21.D</t>
  </si>
  <si>
    <t>140308A29.D</t>
  </si>
  <si>
    <t>140308A37.D</t>
  </si>
  <si>
    <t>140308A45.D</t>
  </si>
  <si>
    <t>140308A52.D</t>
  </si>
  <si>
    <t>140308B05.D</t>
  </si>
  <si>
    <t>140308B13.D</t>
  </si>
  <si>
    <t>140308B21.D</t>
  </si>
  <si>
    <t>140308B29.D</t>
  </si>
  <si>
    <t>140308B37.D</t>
  </si>
  <si>
    <t>140308B45.D</t>
  </si>
  <si>
    <t>140308B53.D</t>
  </si>
  <si>
    <t>140308B60.D</t>
  </si>
  <si>
    <t>BC28</t>
    <phoneticPr fontId="1" type="noConversion"/>
  </si>
  <si>
    <t>Average</t>
    <phoneticPr fontId="1" type="noConversion"/>
  </si>
  <si>
    <t>90Zr</t>
    <phoneticPr fontId="1" type="noConversion"/>
  </si>
  <si>
    <t>Barnes et al. (2004, CG)</t>
    <phoneticPr fontId="1" type="noConversion"/>
  </si>
  <si>
    <t>Method</t>
    <phoneticPr fontId="1" type="noConversion"/>
  </si>
  <si>
    <t>Dare et al., 2014, MD</t>
  </si>
  <si>
    <t>LA-ICP-MS</t>
    <phoneticPr fontId="1" type="noConversion"/>
  </si>
  <si>
    <t>Dare et al., 2012, GCA</t>
  </si>
  <si>
    <t>% RSD</t>
    <phoneticPr fontId="1" type="noConversion"/>
  </si>
  <si>
    <t>Average</t>
    <phoneticPr fontId="1" type="noConversion"/>
  </si>
  <si>
    <t>Max</t>
    <phoneticPr fontId="1" type="noConversion"/>
  </si>
  <si>
    <t>Min</t>
    <phoneticPr fontId="1" type="noConversion"/>
  </si>
  <si>
    <t>Max error</t>
    <phoneticPr fontId="1" type="noConversion"/>
  </si>
  <si>
    <t>Min error</t>
    <phoneticPr fontId="1" type="noConversion"/>
  </si>
  <si>
    <t>American Mineralogist: May 2017 Deposit AM-17-55804</t>
  </si>
  <si>
    <t>CHEN ET AL.: TRACE ELEMENT GEOCHEMISTRY OF THE PANZHIHUA MINERALS</t>
  </si>
  <si>
    <r>
      <t xml:space="preserve">Table S1 </t>
    </r>
    <r>
      <rPr>
        <sz val="12"/>
        <color theme="1"/>
        <rFont val="Cambria"/>
      </rPr>
      <t>Comparisons of reference standards between LA-ICP-MS results in this study and their preferred values</t>
    </r>
  </si>
  <si>
    <r>
      <t xml:space="preserve">Table S1 </t>
    </r>
    <r>
      <rPr>
        <sz val="12"/>
        <color rgb="FF000000"/>
        <rFont val="Cambria"/>
      </rPr>
      <t>Comparisons of reference standards between LA-ICP-MS results in this study and their preferred values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</si>
</sst>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_ "/>
    <numFmt numFmtId="165" formatCode="0.00_ "/>
    <numFmt numFmtId="166" formatCode="0.000_ "/>
    <numFmt numFmtId="167" formatCode="0_ "/>
    <numFmt numFmtId="168" formatCode="0.0"/>
    <numFmt numFmtId="169" formatCode="0.00_);[Red]\(0.00\)"/>
    <numFmt numFmtId="170" formatCode="0.000"/>
    <numFmt numFmtId="171" formatCode="0_);[Red]\(0\)"/>
    <numFmt numFmtId="172" formatCode="0.0_);[Red]\(0.0\)"/>
  </numFmts>
  <fonts count="27" x14ac:knownFonts="1">
    <font>
      <sz val="11"/>
      <color theme="1"/>
      <name val="Calibri"/>
      <charset val="134"/>
      <scheme val="minor"/>
    </font>
    <font>
      <sz val="9"/>
      <name val="等线"/>
      <charset val="134"/>
    </font>
    <font>
      <sz val="9"/>
      <name val="Times New Roman"/>
      <family val="1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indexed="10"/>
      <name val="Times New Roman"/>
      <family val="1"/>
    </font>
    <font>
      <sz val="10"/>
      <name val="Times New Roman"/>
      <family val="1"/>
    </font>
    <font>
      <vertAlign val="subscript"/>
      <sz val="9"/>
      <color indexed="10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9"/>
      <color rgb="FFFF0000"/>
      <name val="Times New Roman"/>
      <family val="1"/>
    </font>
    <font>
      <sz val="10"/>
      <color theme="1"/>
      <name val="Times New Roman"/>
      <family val="1"/>
    </font>
    <font>
      <b/>
      <sz val="9"/>
      <color rgb="FF0000FF"/>
      <name val="Times New Roman"/>
      <family val="1"/>
    </font>
    <font>
      <b/>
      <sz val="11"/>
      <color rgb="FF0000FF"/>
      <name val="Calibri"/>
      <charset val="134"/>
      <scheme val="minor"/>
    </font>
    <font>
      <sz val="9"/>
      <color rgb="FF0000FF"/>
      <name val="Times New Roman"/>
      <family val="1"/>
    </font>
    <font>
      <b/>
      <sz val="10"/>
      <color theme="1"/>
      <name val="Times New Roman"/>
      <family val="1"/>
    </font>
    <font>
      <b/>
      <sz val="12"/>
      <color rgb="FF000000"/>
      <name val="Lucida Grande"/>
    </font>
    <font>
      <b/>
      <sz val="10"/>
      <name val="Arial"/>
      <family val="2"/>
    </font>
    <font>
      <b/>
      <sz val="12"/>
      <color theme="1"/>
      <name val="Cambria"/>
    </font>
    <font>
      <sz val="12"/>
      <color theme="1"/>
      <name val="Cambria"/>
    </font>
    <font>
      <u/>
      <sz val="11"/>
      <color theme="10"/>
      <name val="Calibri"/>
      <charset val="134"/>
      <scheme val="minor"/>
    </font>
    <font>
      <u/>
      <sz val="11"/>
      <color theme="11"/>
      <name val="Calibri"/>
      <charset val="134"/>
      <scheme val="minor"/>
    </font>
    <font>
      <b/>
      <sz val="12"/>
      <color rgb="FF000000"/>
      <name val="Cambria"/>
    </font>
    <font>
      <sz val="12"/>
      <color rgb="FF000000"/>
      <name val="Cambria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164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4" fillId="0" borderId="0" xfId="1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10" fillId="0" borderId="0" xfId="1" applyAlignment="1">
      <alignment vertical="center"/>
    </xf>
    <xf numFmtId="0" fontId="10" fillId="0" borderId="0" xfId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14" fillId="4" borderId="0" xfId="3" applyFont="1" applyFill="1">
      <alignment vertical="center"/>
    </xf>
    <xf numFmtId="0" fontId="14" fillId="5" borderId="0" xfId="3" applyFont="1" applyFill="1">
      <alignment vertical="center"/>
    </xf>
    <xf numFmtId="164" fontId="15" fillId="0" borderId="0" xfId="1" applyNumberFormat="1" applyFont="1" applyAlignment="1">
      <alignment vertical="center"/>
    </xf>
    <xf numFmtId="165" fontId="15" fillId="0" borderId="0" xfId="1" applyNumberFormat="1" applyFont="1" applyAlignment="1">
      <alignment vertical="center"/>
    </xf>
    <xf numFmtId="0" fontId="16" fillId="0" borderId="0" xfId="1" applyFont="1" applyFill="1" applyAlignment="1">
      <alignment vertical="center"/>
    </xf>
    <xf numFmtId="0" fontId="17" fillId="0" borderId="0" xfId="1" applyFont="1" applyFill="1" applyAlignment="1">
      <alignment vertical="center"/>
    </xf>
    <xf numFmtId="0" fontId="17" fillId="0" borderId="0" xfId="1" applyFont="1" applyAlignment="1">
      <alignment vertical="center"/>
    </xf>
    <xf numFmtId="0" fontId="15" fillId="0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165" fontId="16" fillId="0" borderId="0" xfId="1" applyNumberFormat="1" applyFont="1" applyFill="1" applyAlignment="1">
      <alignment vertical="center"/>
    </xf>
    <xf numFmtId="167" fontId="15" fillId="0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167" fontId="13" fillId="0" borderId="0" xfId="1" applyNumberFormat="1" applyFont="1" applyAlignment="1">
      <alignment vertical="center"/>
    </xf>
    <xf numFmtId="2" fontId="13" fillId="0" borderId="0" xfId="1" applyNumberFormat="1" applyFont="1" applyAlignment="1">
      <alignment horizontal="right" vertical="center"/>
    </xf>
    <xf numFmtId="168" fontId="13" fillId="0" borderId="0" xfId="1" applyNumberFormat="1" applyFont="1" applyAlignment="1">
      <alignment horizontal="right" vertical="center"/>
    </xf>
    <xf numFmtId="1" fontId="13" fillId="0" borderId="0" xfId="1" applyNumberFormat="1" applyFont="1" applyAlignment="1">
      <alignment horizontal="right" vertical="center"/>
    </xf>
    <xf numFmtId="0" fontId="13" fillId="0" borderId="0" xfId="1" applyFont="1" applyFill="1" applyAlignment="1">
      <alignment horizontal="right" vertical="center"/>
    </xf>
    <xf numFmtId="2" fontId="13" fillId="0" borderId="0" xfId="1" applyNumberFormat="1" applyFont="1" applyFill="1" applyAlignment="1">
      <alignment horizontal="right" vertical="center"/>
    </xf>
    <xf numFmtId="168" fontId="13" fillId="0" borderId="0" xfId="1" applyNumberFormat="1" applyFont="1" applyAlignment="1">
      <alignment vertical="center"/>
    </xf>
    <xf numFmtId="2" fontId="13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165" fontId="9" fillId="0" borderId="0" xfId="1" applyNumberFormat="1" applyFont="1" applyAlignment="1">
      <alignment vertical="center"/>
    </xf>
    <xf numFmtId="164" fontId="17" fillId="0" borderId="0" xfId="1" applyNumberFormat="1" applyFont="1" applyAlignment="1">
      <alignment vertical="center"/>
    </xf>
    <xf numFmtId="165" fontId="17" fillId="0" borderId="0" xfId="1" applyNumberFormat="1" applyFont="1" applyAlignment="1">
      <alignment vertical="center"/>
    </xf>
    <xf numFmtId="164" fontId="17" fillId="0" borderId="0" xfId="1" applyNumberFormat="1" applyFont="1" applyFill="1" applyAlignment="1">
      <alignment vertical="center"/>
    </xf>
    <xf numFmtId="170" fontId="14" fillId="0" borderId="0" xfId="3" applyNumberFormat="1" applyFont="1">
      <alignment vertical="center"/>
    </xf>
    <xf numFmtId="0" fontId="14" fillId="0" borderId="0" xfId="3" applyFont="1" applyFill="1">
      <alignment vertical="center"/>
    </xf>
    <xf numFmtId="0" fontId="14" fillId="6" borderId="0" xfId="3" applyFont="1" applyFill="1">
      <alignment vertical="center"/>
    </xf>
    <xf numFmtId="0" fontId="18" fillId="0" borderId="0" xfId="3" applyFont="1">
      <alignment vertical="center"/>
    </xf>
    <xf numFmtId="168" fontId="18" fillId="0" borderId="0" xfId="3" applyNumberFormat="1" applyFont="1">
      <alignment vertical="center"/>
    </xf>
    <xf numFmtId="0" fontId="7" fillId="0" borderId="0" xfId="1" applyFont="1" applyAlignment="1">
      <alignment vertical="center"/>
    </xf>
    <xf numFmtId="169" fontId="7" fillId="0" borderId="0" xfId="0" applyNumberFormat="1" applyFont="1">
      <alignment vertical="center"/>
    </xf>
    <xf numFmtId="169" fontId="14" fillId="0" borderId="0" xfId="0" applyNumberFormat="1" applyFont="1" applyFill="1">
      <alignment vertical="center"/>
    </xf>
    <xf numFmtId="171" fontId="14" fillId="0" borderId="0" xfId="0" applyNumberFormat="1" applyFont="1" applyFill="1">
      <alignment vertical="center"/>
    </xf>
    <xf numFmtId="172" fontId="14" fillId="0" borderId="0" xfId="0" applyNumberFormat="1" applyFont="1" applyFill="1">
      <alignment vertical="center"/>
    </xf>
    <xf numFmtId="169" fontId="18" fillId="0" borderId="0" xfId="0" applyNumberFormat="1" applyFont="1" applyFill="1">
      <alignment vertical="center"/>
    </xf>
    <xf numFmtId="0" fontId="14" fillId="4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4" fillId="6" borderId="0" xfId="0" applyFont="1" applyFill="1">
      <alignment vertical="center"/>
    </xf>
    <xf numFmtId="1" fontId="14" fillId="0" borderId="0" xfId="0" applyNumberFormat="1" applyFont="1">
      <alignment vertical="center"/>
    </xf>
    <xf numFmtId="2" fontId="14" fillId="0" borderId="0" xfId="0" applyNumberFormat="1" applyFont="1">
      <alignment vertical="center"/>
    </xf>
    <xf numFmtId="0" fontId="18" fillId="0" borderId="0" xfId="0" applyFont="1">
      <alignment vertical="center"/>
    </xf>
    <xf numFmtId="169" fontId="14" fillId="4" borderId="0" xfId="0" applyNumberFormat="1" applyFont="1" applyFill="1">
      <alignment vertical="center"/>
    </xf>
    <xf numFmtId="168" fontId="14" fillId="4" borderId="0" xfId="3" applyNumberFormat="1" applyFont="1" applyFill="1">
      <alignment vertical="center"/>
    </xf>
    <xf numFmtId="169" fontId="14" fillId="5" borderId="0" xfId="0" applyNumberFormat="1" applyFont="1" applyFill="1">
      <alignment vertical="center"/>
    </xf>
    <xf numFmtId="168" fontId="14" fillId="5" borderId="0" xfId="3" applyNumberFormat="1" applyFont="1" applyFill="1">
      <alignment vertical="center"/>
    </xf>
    <xf numFmtId="169" fontId="14" fillId="6" borderId="0" xfId="0" applyNumberFormat="1" applyFont="1" applyFill="1">
      <alignment vertical="center"/>
    </xf>
    <xf numFmtId="168" fontId="14" fillId="6" borderId="0" xfId="3" applyNumberFormat="1" applyFont="1" applyFill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/>
    <xf numFmtId="0" fontId="21" fillId="0" borderId="0" xfId="0" applyFont="1">
      <alignment vertical="center"/>
    </xf>
    <xf numFmtId="0" fontId="19" fillId="0" borderId="0" xfId="0" applyFont="1">
      <alignment vertical="center"/>
    </xf>
    <xf numFmtId="0" fontId="25" fillId="0" borderId="0" xfId="0" applyFont="1">
      <alignment vertical="center"/>
    </xf>
  </cellXfs>
  <cellStyles count="8">
    <cellStyle name="Followed Hyperlink" xfId="7" builtinId="9" hidden="1"/>
    <cellStyle name="Hyperlink" xfId="6" builtinId="8" hidden="1"/>
    <cellStyle name="Normal" xfId="0" builtinId="0"/>
    <cellStyle name="好 2" xfId="4"/>
    <cellStyle name="常规 2" xfId="1"/>
    <cellStyle name="常规 2 2" xfId="2"/>
    <cellStyle name="常规 7" xfId="3"/>
    <cellStyle name="适中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790803927287"/>
          <c:y val="0.0282524059492563"/>
          <c:w val="0.801369689899874"/>
          <c:h val="0.827989938757655"/>
        </c:manualLayout>
      </c:layout>
      <c:scatterChart>
        <c:scatterStyle val="lineMarker"/>
        <c:varyColors val="0"/>
        <c:ser>
          <c:idx val="2"/>
          <c:order val="0"/>
          <c:tx>
            <c:v>BC-28 </c:v>
          </c:tx>
          <c:spPr>
            <a:ln w="19050">
              <a:noFill/>
            </a:ln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'BC-28'!$D$131:$R$131</c:f>
                <c:numCache>
                  <c:formatCode>General</c:formatCode>
                  <c:ptCount val="15"/>
                  <c:pt idx="0">
                    <c:v>1225.031976879622</c:v>
                  </c:pt>
                  <c:pt idx="1">
                    <c:v>3347.824103550706</c:v>
                  </c:pt>
                  <c:pt idx="2">
                    <c:v>2.291022250152702</c:v>
                  </c:pt>
                  <c:pt idx="3">
                    <c:v>3790.190002377723</c:v>
                  </c:pt>
                  <c:pt idx="4">
                    <c:v>685.784051945532</c:v>
                  </c:pt>
                  <c:pt idx="5">
                    <c:v>103.8543636127265</c:v>
                  </c:pt>
                  <c:pt idx="6">
                    <c:v>160.954915259895</c:v>
                  </c:pt>
                  <c:pt idx="7">
                    <c:v>26.17684661017533</c:v>
                  </c:pt>
                  <c:pt idx="8">
                    <c:v>45.9533146591216</c:v>
                  </c:pt>
                  <c:pt idx="9">
                    <c:v>113.9554916713594</c:v>
                  </c:pt>
                  <c:pt idx="10">
                    <c:v>4.639298461653388</c:v>
                  </c:pt>
                  <c:pt idx="11">
                    <c:v>4.446930360278149</c:v>
                  </c:pt>
                  <c:pt idx="12">
                    <c:v>1.050314068661911</c:v>
                  </c:pt>
                  <c:pt idx="13">
                    <c:v>0.190404351886753</c:v>
                  </c:pt>
                  <c:pt idx="14">
                    <c:v>0.157318630414347</c:v>
                  </c:pt>
                </c:numCache>
              </c:numRef>
            </c:plus>
            <c:minus>
              <c:numRef>
                <c:f>'BC-28'!$D$131:$R$131</c:f>
                <c:numCache>
                  <c:formatCode>General</c:formatCode>
                  <c:ptCount val="15"/>
                  <c:pt idx="0">
                    <c:v>1225.031976879622</c:v>
                  </c:pt>
                  <c:pt idx="1">
                    <c:v>3347.824103550706</c:v>
                  </c:pt>
                  <c:pt idx="2">
                    <c:v>2.291022250152702</c:v>
                  </c:pt>
                  <c:pt idx="3">
                    <c:v>3790.190002377723</c:v>
                  </c:pt>
                  <c:pt idx="4">
                    <c:v>685.784051945532</c:v>
                  </c:pt>
                  <c:pt idx="5">
                    <c:v>103.8543636127265</c:v>
                  </c:pt>
                  <c:pt idx="6">
                    <c:v>160.954915259895</c:v>
                  </c:pt>
                  <c:pt idx="7">
                    <c:v>26.17684661017533</c:v>
                  </c:pt>
                  <c:pt idx="8">
                    <c:v>45.9533146591216</c:v>
                  </c:pt>
                  <c:pt idx="9">
                    <c:v>113.9554916713594</c:v>
                  </c:pt>
                  <c:pt idx="10">
                    <c:v>4.639298461653388</c:v>
                  </c:pt>
                  <c:pt idx="11">
                    <c:v>4.446930360278149</c:v>
                  </c:pt>
                  <c:pt idx="12">
                    <c:v>1.050314068661911</c:v>
                  </c:pt>
                  <c:pt idx="13">
                    <c:v>0.190404351886753</c:v>
                  </c:pt>
                  <c:pt idx="14">
                    <c:v>0.157318630414347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'BC-28'!$D$156:$R$156</c:f>
                <c:numCache>
                  <c:formatCode>General</c:formatCode>
                  <c:ptCount val="15"/>
                  <c:pt idx="0">
                    <c:v>1271.666666666666</c:v>
                  </c:pt>
                  <c:pt idx="1">
                    <c:v>1316.666666666668</c:v>
                  </c:pt>
                  <c:pt idx="2">
                    <c:v>3.166666666666668</c:v>
                  </c:pt>
                  <c:pt idx="3">
                    <c:v>8902.333333333328</c:v>
                  </c:pt>
                  <c:pt idx="4">
                    <c:v>475.0</c:v>
                  </c:pt>
                  <c:pt idx="5">
                    <c:v>124.6666666666667</c:v>
                  </c:pt>
                  <c:pt idx="6">
                    <c:v>147.3333333333333</c:v>
                  </c:pt>
                  <c:pt idx="7">
                    <c:v>14.33333333333331</c:v>
                  </c:pt>
                  <c:pt idx="8">
                    <c:v>25.33333333333337</c:v>
                  </c:pt>
                  <c:pt idx="9">
                    <c:v>45.0</c:v>
                  </c:pt>
                  <c:pt idx="10">
                    <c:v>5.233333333333327</c:v>
                  </c:pt>
                  <c:pt idx="11">
                    <c:v>9.113333333333333</c:v>
                  </c:pt>
                  <c:pt idx="12">
                    <c:v>0.126666666666666</c:v>
                  </c:pt>
                  <c:pt idx="13">
                    <c:v>0.16</c:v>
                  </c:pt>
                  <c:pt idx="14">
                    <c:v>0.045</c:v>
                  </c:pt>
                </c:numCache>
              </c:numRef>
            </c:plus>
            <c:minus>
              <c:numRef>
                <c:f>'BC-28'!$D$157:$R$157</c:f>
                <c:numCache>
                  <c:formatCode>General</c:formatCode>
                  <c:ptCount val="15"/>
                  <c:pt idx="0">
                    <c:v>766.333333333334</c:v>
                  </c:pt>
                  <c:pt idx="1">
                    <c:v>1962.333333333332</c:v>
                  </c:pt>
                  <c:pt idx="2">
                    <c:v>4.333333333333332</c:v>
                  </c:pt>
                  <c:pt idx="3">
                    <c:v>4648.66666666667</c:v>
                  </c:pt>
                  <c:pt idx="4">
                    <c:v>306.0</c:v>
                  </c:pt>
                  <c:pt idx="5">
                    <c:v>72.33333333333326</c:v>
                  </c:pt>
                  <c:pt idx="6">
                    <c:v>153.6666666666667</c:v>
                  </c:pt>
                  <c:pt idx="7">
                    <c:v>26.66666666666669</c:v>
                  </c:pt>
                  <c:pt idx="8">
                    <c:v>16.66666666666663</c:v>
                  </c:pt>
                  <c:pt idx="9">
                    <c:v>71.0</c:v>
                  </c:pt>
                  <c:pt idx="10">
                    <c:v>3.56666666666667</c:v>
                  </c:pt>
                  <c:pt idx="11">
                    <c:v>5.326666666666668</c:v>
                  </c:pt>
                  <c:pt idx="12">
                    <c:v>0.123333333333334</c:v>
                  </c:pt>
                  <c:pt idx="13">
                    <c:v>0.16</c:v>
                  </c:pt>
                  <c:pt idx="14">
                    <c:v>0.045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'BC-28'!$D$130:$R$130</c:f>
              <c:numCache>
                <c:formatCode>0_);[Red]\(0\)</c:formatCode>
                <c:ptCount val="15"/>
                <c:pt idx="0">
                  <c:v>8950.078213467737</c:v>
                </c:pt>
                <c:pt idx="1">
                  <c:v>22008.46767096775</c:v>
                </c:pt>
                <c:pt idx="2" formatCode="0.0_);[Red]\(0.0\)">
                  <c:v>21.80362903225807</c:v>
                </c:pt>
                <c:pt idx="3">
                  <c:v>76434.75137419357</c:v>
                </c:pt>
                <c:pt idx="4">
                  <c:v>10596.94435483871</c:v>
                </c:pt>
                <c:pt idx="5">
                  <c:v>1569.124758064516</c:v>
                </c:pt>
                <c:pt idx="6">
                  <c:v>1906.193712459678</c:v>
                </c:pt>
                <c:pt idx="7">
                  <c:v>253.7667741935484</c:v>
                </c:pt>
                <c:pt idx="8">
                  <c:v>556.846048387097</c:v>
                </c:pt>
                <c:pt idx="9">
                  <c:v>631.0062903225808</c:v>
                </c:pt>
                <c:pt idx="10" formatCode="0.00_);[Red]\(0.00\)">
                  <c:v>64.5204435483871</c:v>
                </c:pt>
                <c:pt idx="11" formatCode="0.00_);[Red]\(0.00\)">
                  <c:v>17.09435483870967</c:v>
                </c:pt>
                <c:pt idx="12" formatCode="0.00_);[Red]\(0.00\)">
                  <c:v>1.946504032258064</c:v>
                </c:pt>
                <c:pt idx="13" formatCode="0.00_);[Red]\(0.00\)">
                  <c:v>0.521433870967742</c:v>
                </c:pt>
                <c:pt idx="14" formatCode="0.00_);[Red]\(0.00\)">
                  <c:v>0.166989596774194</c:v>
                </c:pt>
              </c:numCache>
            </c:numRef>
          </c:xVal>
          <c:yVal>
            <c:numRef>
              <c:f>'BC-28'!$D$153:$R$153</c:f>
              <c:numCache>
                <c:formatCode>0</c:formatCode>
                <c:ptCount val="15"/>
                <c:pt idx="0">
                  <c:v>10346.33333333333</c:v>
                </c:pt>
                <c:pt idx="1">
                  <c:v>19470.33333333333</c:v>
                </c:pt>
                <c:pt idx="2">
                  <c:v>27.83333333333333</c:v>
                </c:pt>
                <c:pt idx="3">
                  <c:v>78712.66666666667</c:v>
                </c:pt>
                <c:pt idx="4">
                  <c:v>9128.0</c:v>
                </c:pt>
                <c:pt idx="5">
                  <c:v>1224.333333333333</c:v>
                </c:pt>
                <c:pt idx="6">
                  <c:v>1977.666666666667</c:v>
                </c:pt>
                <c:pt idx="7">
                  <c:v>267.6666666666666</c:v>
                </c:pt>
                <c:pt idx="8">
                  <c:v>581.6666666666666</c:v>
                </c:pt>
                <c:pt idx="9">
                  <c:v>543.0</c:v>
                </c:pt>
                <c:pt idx="10">
                  <c:v>42.76666666666667</c:v>
                </c:pt>
                <c:pt idx="11">
                  <c:v>16.98666666666667</c:v>
                </c:pt>
                <c:pt idx="12" formatCode="0.00">
                  <c:v>1.593333333333333</c:v>
                </c:pt>
                <c:pt idx="13" formatCode="0.00">
                  <c:v>0.74</c:v>
                </c:pt>
                <c:pt idx="14" formatCode="0.00">
                  <c:v>0.115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0F0-4AD0-808A-CEDC8F19A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278168"/>
        <c:axId val="-2145020280"/>
      </c:scatterChart>
      <c:valAx>
        <c:axId val="-2145278168"/>
        <c:scaling>
          <c:logBase val="10.0"/>
          <c:orientation val="minMax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altLang="zh-CN" sz="800" b="0" baseline="0"/>
                  <a:t>LA-ICP-MS result</a:t>
                </a:r>
                <a:r>
                  <a:rPr lang="en-US" sz="800" b="0" baseline="0"/>
                  <a:t> (ppm)</a:t>
                </a:r>
                <a:endParaRPr lang="en-US" sz="800" b="0"/>
              </a:p>
            </c:rich>
          </c:tx>
          <c:layout/>
          <c:overlay val="0"/>
        </c:title>
        <c:numFmt formatCode="General" sourceLinked="0"/>
        <c:majorTickMark val="out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宋体"/>
                <a:cs typeface="Arial" panose="020B0604020202020204" pitchFamily="34" charset="0"/>
              </a:defRPr>
            </a:pPr>
            <a:endParaRPr lang="en-US"/>
          </a:p>
        </c:txPr>
        <c:crossAx val="-2145020280"/>
        <c:crossesAt val="0.1"/>
        <c:crossBetween val="midCat"/>
      </c:valAx>
      <c:valAx>
        <c:axId val="-2145020280"/>
        <c:scaling>
          <c:logBase val="10.0"/>
          <c:orientation val="minMax"/>
          <c:min val="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800" b="0"/>
                </a:pPr>
                <a:r>
                  <a:rPr lang="en-US" sz="800" b="0" baseline="0"/>
                  <a:t>Preferred value (ppm)</a:t>
                </a:r>
                <a:endParaRPr lang="en-US" sz="800" b="0"/>
              </a:p>
            </c:rich>
          </c:tx>
          <c:layout>
            <c:manualLayout>
              <c:xMode val="edge"/>
              <c:yMode val="edge"/>
              <c:x val="0.0"/>
              <c:y val="0.177259842519685"/>
            </c:manualLayout>
          </c:layout>
          <c:overlay val="0"/>
        </c:title>
        <c:numFmt formatCode="General" sourceLinked="0"/>
        <c:majorTickMark val="out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-2145278168"/>
        <c:crossesAt val="0.1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1685839074803"/>
          <c:y val="0.724432633420822"/>
          <c:w val="0.156556348425197"/>
          <c:h val="0.0823862642169728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790803927287"/>
          <c:y val="0.0282524059492563"/>
          <c:w val="0.801369689899874"/>
          <c:h val="0.827989938757655"/>
        </c:manualLayout>
      </c:layout>
      <c:scatterChart>
        <c:scatterStyle val="lineMarker"/>
        <c:varyColors val="0"/>
        <c:ser>
          <c:idx val="5"/>
          <c:order val="0"/>
          <c:tx>
            <c:v>KL2-G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'KL2-G2'!$X$6:$X$39</c:f>
                <c:numCache>
                  <c:formatCode>General</c:formatCode>
                  <c:ptCount val="34"/>
                  <c:pt idx="0">
                    <c:v>3764.626412428738</c:v>
                  </c:pt>
                  <c:pt idx="1">
                    <c:v>305.7112148038424</c:v>
                  </c:pt>
                  <c:pt idx="2">
                    <c:v>746.0343820193127</c:v>
                  </c:pt>
                  <c:pt idx="3">
                    <c:v>4136.496286823937</c:v>
                  </c:pt>
                  <c:pt idx="4">
                    <c:v>27.19241238732513</c:v>
                  </c:pt>
                  <c:pt idx="5">
                    <c:v>1053.163462011113</c:v>
                  </c:pt>
                  <c:pt idx="6">
                    <c:v>942.6150153054974</c:v>
                  </c:pt>
                  <c:pt idx="7">
                    <c:v>249.2491144573692</c:v>
                  </c:pt>
                  <c:pt idx="8">
                    <c:v>106.3022814976568</c:v>
                  </c:pt>
                  <c:pt idx="9">
                    <c:v>45.93301890137755</c:v>
                  </c:pt>
                  <c:pt idx="10">
                    <c:v>1.18947949511349</c:v>
                  </c:pt>
                  <c:pt idx="11">
                    <c:v>4.742862503925954</c:v>
                  </c:pt>
                  <c:pt idx="12">
                    <c:v>18.27345338264605</c:v>
                  </c:pt>
                  <c:pt idx="13">
                    <c:v>0.88959752981515</c:v>
                  </c:pt>
                  <c:pt idx="14">
                    <c:v>4.270169962539442</c:v>
                  </c:pt>
                  <c:pt idx="15">
                    <c:v>5.618120886841871</c:v>
                  </c:pt>
                  <c:pt idx="16">
                    <c:v>4.748127912829804</c:v>
                  </c:pt>
                  <c:pt idx="17">
                    <c:v>1.072181397048372</c:v>
                  </c:pt>
                  <c:pt idx="18">
                    <c:v>0.324071241737957</c:v>
                  </c:pt>
                  <c:pt idx="19">
                    <c:v>5.3144967145768</c:v>
                  </c:pt>
                  <c:pt idx="20">
                    <c:v>0.67155853895702</c:v>
                  </c:pt>
                  <c:pt idx="21">
                    <c:v>3.487115352042902</c:v>
                  </c:pt>
                  <c:pt idx="22">
                    <c:v>0.328205401823877</c:v>
                  </c:pt>
                  <c:pt idx="23">
                    <c:v>2.990836664266551</c:v>
                  </c:pt>
                  <c:pt idx="24">
                    <c:v>0.28826622325236</c:v>
                  </c:pt>
                  <c:pt idx="25">
                    <c:v>1.284039940458571</c:v>
                  </c:pt>
                  <c:pt idx="26">
                    <c:v>0.423626632724896</c:v>
                  </c:pt>
                  <c:pt idx="27">
                    <c:v>0.124869178540784</c:v>
                  </c:pt>
                  <c:pt idx="28">
                    <c:v>0.029334712139263</c:v>
                  </c:pt>
                  <c:pt idx="29">
                    <c:v>0.211276552534693</c:v>
                  </c:pt>
                  <c:pt idx="30">
                    <c:v>0.0327610641505415</c:v>
                  </c:pt>
                  <c:pt idx="31">
                    <c:v>0.273750176454839</c:v>
                  </c:pt>
                  <c:pt idx="32">
                    <c:v>0.0498447619520147</c:v>
                  </c:pt>
                  <c:pt idx="33">
                    <c:v>0.058112978177058</c:v>
                  </c:pt>
                </c:numCache>
              </c:numRef>
            </c:plus>
            <c:minus>
              <c:numRef>
                <c:f>'KL2-G2'!$X$6:$X$39</c:f>
                <c:numCache>
                  <c:formatCode>General</c:formatCode>
                  <c:ptCount val="34"/>
                  <c:pt idx="0">
                    <c:v>3764.626412428738</c:v>
                  </c:pt>
                  <c:pt idx="1">
                    <c:v>305.7112148038424</c:v>
                  </c:pt>
                  <c:pt idx="2">
                    <c:v>746.0343820193127</c:v>
                  </c:pt>
                  <c:pt idx="3">
                    <c:v>4136.496286823937</c:v>
                  </c:pt>
                  <c:pt idx="4">
                    <c:v>27.19241238732513</c:v>
                  </c:pt>
                  <c:pt idx="5">
                    <c:v>1053.163462011113</c:v>
                  </c:pt>
                  <c:pt idx="6">
                    <c:v>942.6150153054974</c:v>
                  </c:pt>
                  <c:pt idx="7">
                    <c:v>249.2491144573692</c:v>
                  </c:pt>
                  <c:pt idx="8">
                    <c:v>106.3022814976568</c:v>
                  </c:pt>
                  <c:pt idx="9">
                    <c:v>45.93301890137755</c:v>
                  </c:pt>
                  <c:pt idx="10">
                    <c:v>1.18947949511349</c:v>
                  </c:pt>
                  <c:pt idx="11">
                    <c:v>4.742862503925954</c:v>
                  </c:pt>
                  <c:pt idx="12">
                    <c:v>18.27345338264605</c:v>
                  </c:pt>
                  <c:pt idx="13">
                    <c:v>0.88959752981515</c:v>
                  </c:pt>
                  <c:pt idx="14">
                    <c:v>4.270169962539442</c:v>
                  </c:pt>
                  <c:pt idx="15">
                    <c:v>5.618120886841871</c:v>
                  </c:pt>
                  <c:pt idx="16">
                    <c:v>4.748127912829804</c:v>
                  </c:pt>
                  <c:pt idx="17">
                    <c:v>1.072181397048372</c:v>
                  </c:pt>
                  <c:pt idx="18">
                    <c:v>0.324071241737957</c:v>
                  </c:pt>
                  <c:pt idx="19">
                    <c:v>5.3144967145768</c:v>
                  </c:pt>
                  <c:pt idx="20">
                    <c:v>0.67155853895702</c:v>
                  </c:pt>
                  <c:pt idx="21">
                    <c:v>3.487115352042902</c:v>
                  </c:pt>
                  <c:pt idx="22">
                    <c:v>0.328205401823877</c:v>
                  </c:pt>
                  <c:pt idx="23">
                    <c:v>2.990836664266551</c:v>
                  </c:pt>
                  <c:pt idx="24">
                    <c:v>0.28826622325236</c:v>
                  </c:pt>
                  <c:pt idx="25">
                    <c:v>1.284039940458571</c:v>
                  </c:pt>
                  <c:pt idx="26">
                    <c:v>0.423626632724896</c:v>
                  </c:pt>
                  <c:pt idx="27">
                    <c:v>0.124869178540784</c:v>
                  </c:pt>
                  <c:pt idx="28">
                    <c:v>0.029334712139263</c:v>
                  </c:pt>
                  <c:pt idx="29">
                    <c:v>0.211276552534693</c:v>
                  </c:pt>
                  <c:pt idx="30">
                    <c:v>0.0327610641505415</c:v>
                  </c:pt>
                  <c:pt idx="31">
                    <c:v>0.273750176454839</c:v>
                  </c:pt>
                  <c:pt idx="32">
                    <c:v>0.0498447619520147</c:v>
                  </c:pt>
                  <c:pt idx="33">
                    <c:v>0.058112978177058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'KL2-G2'!$AH$6:$AH$39</c:f>
                <c:numCache>
                  <c:formatCode>General</c:formatCode>
                  <c:ptCount val="34"/>
                  <c:pt idx="0">
                    <c:v>5144.806924101168</c:v>
                  </c:pt>
                  <c:pt idx="1">
                    <c:v>4497.37105658488</c:v>
                  </c:pt>
                  <c:pt idx="2">
                    <c:v>3177.405119152696</c:v>
                  </c:pt>
                  <c:pt idx="3">
                    <c:v>5129.962390305052</c:v>
                  </c:pt>
                  <c:pt idx="4">
                    <c:v>499.513330512061</c:v>
                  </c:pt>
                  <c:pt idx="5">
                    <c:v>1628.443782576331</c:v>
                  </c:pt>
                  <c:pt idx="6">
                    <c:v>29669.28151185592</c:v>
                  </c:pt>
                  <c:pt idx="7">
                    <c:v>2374.576544603966</c:v>
                  </c:pt>
                  <c:pt idx="8">
                    <c:v>3486.9943730757</c:v>
                  </c:pt>
                  <c:pt idx="9">
                    <c:v>476.0831278619232</c:v>
                  </c:pt>
                  <c:pt idx="10">
                    <c:v>3.25</c:v>
                  </c:pt>
                  <c:pt idx="11">
                    <c:v>125.5</c:v>
                  </c:pt>
                  <c:pt idx="12">
                    <c:v>148.0</c:v>
                  </c:pt>
                  <c:pt idx="13">
                    <c:v>9.699999999999995</c:v>
                  </c:pt>
                  <c:pt idx="14">
                    <c:v>17.0</c:v>
                  </c:pt>
                  <c:pt idx="15">
                    <c:v>12.55</c:v>
                  </c:pt>
                  <c:pt idx="16">
                    <c:v>18.0</c:v>
                  </c:pt>
                  <c:pt idx="17">
                    <c:v>4.5</c:v>
                  </c:pt>
                  <c:pt idx="18">
                    <c:v>2.799999999999999</c:v>
                  </c:pt>
                  <c:pt idx="19">
                    <c:v>47.0</c:v>
                  </c:pt>
                  <c:pt idx="20">
                    <c:v>7.5</c:v>
                  </c:pt>
                  <c:pt idx="21">
                    <c:v>62.5</c:v>
                  </c:pt>
                  <c:pt idx="22">
                    <c:v>5.299999999999999</c:v>
                  </c:pt>
                  <c:pt idx="23">
                    <c:v>47.0</c:v>
                  </c:pt>
                  <c:pt idx="24">
                    <c:v>2.600000000000001</c:v>
                  </c:pt>
                  <c:pt idx="25">
                    <c:v>7.350000000000001</c:v>
                  </c:pt>
                  <c:pt idx="26">
                    <c:v>4.455</c:v>
                  </c:pt>
                  <c:pt idx="27">
                    <c:v>0.245</c:v>
                  </c:pt>
                  <c:pt idx="28">
                    <c:v>0.0465</c:v>
                  </c:pt>
                  <c:pt idx="29">
                    <c:v>0.205</c:v>
                  </c:pt>
                  <c:pt idx="30">
                    <c:v>0.0595</c:v>
                  </c:pt>
                  <c:pt idx="31">
                    <c:v>1.665</c:v>
                  </c:pt>
                  <c:pt idx="32">
                    <c:v>0.1345</c:v>
                  </c:pt>
                  <c:pt idx="33">
                    <c:v>0.445</c:v>
                  </c:pt>
                </c:numCache>
              </c:numRef>
            </c:plus>
            <c:minus>
              <c:numRef>
                <c:f>'KL2-G2'!$AG$6:$AG$39</c:f>
                <c:numCache>
                  <c:formatCode>General</c:formatCode>
                  <c:ptCount val="34"/>
                  <c:pt idx="0">
                    <c:v>5612.51664447406</c:v>
                  </c:pt>
                  <c:pt idx="1">
                    <c:v>4257.511266900348</c:v>
                  </c:pt>
                  <c:pt idx="2">
                    <c:v>7413.945278022947</c:v>
                  </c:pt>
                  <c:pt idx="3">
                    <c:v>3342.248223986622</c:v>
                  </c:pt>
                  <c:pt idx="4">
                    <c:v>321.392297926365</c:v>
                  </c:pt>
                  <c:pt idx="5">
                    <c:v>4101.2658227848</c:v>
                  </c:pt>
                  <c:pt idx="6">
                    <c:v>7149.224460688186</c:v>
                  </c:pt>
                  <c:pt idx="7">
                    <c:v>1113.082755283109</c:v>
                  </c:pt>
                  <c:pt idx="8">
                    <c:v>332.0947021976854</c:v>
                  </c:pt>
                  <c:pt idx="9">
                    <c:v>266.431842197957</c:v>
                  </c:pt>
                  <c:pt idx="10">
                    <c:v>6.089999999999996</c:v>
                  </c:pt>
                  <c:pt idx="11">
                    <c:v>133.5</c:v>
                  </c:pt>
                  <c:pt idx="12">
                    <c:v>102.0</c:v>
                  </c:pt>
                  <c:pt idx="13">
                    <c:v>14.7</c:v>
                  </c:pt>
                  <c:pt idx="14">
                    <c:v>30.56</c:v>
                  </c:pt>
                  <c:pt idx="15">
                    <c:v>25.45</c:v>
                  </c:pt>
                  <c:pt idx="16">
                    <c:v>32.1</c:v>
                  </c:pt>
                  <c:pt idx="17">
                    <c:v>2.0</c:v>
                  </c:pt>
                  <c:pt idx="18">
                    <c:v>3.800000000000001</c:v>
                  </c:pt>
                  <c:pt idx="19">
                    <c:v>43.0</c:v>
                  </c:pt>
                  <c:pt idx="20">
                    <c:v>5.100000000000001</c:v>
                  </c:pt>
                  <c:pt idx="21">
                    <c:v>28.5</c:v>
                  </c:pt>
                  <c:pt idx="22">
                    <c:v>2.4</c:v>
                  </c:pt>
                  <c:pt idx="23">
                    <c:v>21.0</c:v>
                  </c:pt>
                  <c:pt idx="24">
                    <c:v>5.149999999999999</c:v>
                  </c:pt>
                  <c:pt idx="25">
                    <c:v>2.25</c:v>
                  </c:pt>
                  <c:pt idx="26">
                    <c:v>0.665</c:v>
                  </c:pt>
                  <c:pt idx="27">
                    <c:v>0.205</c:v>
                  </c:pt>
                  <c:pt idx="28">
                    <c:v>0.0635</c:v>
                  </c:pt>
                  <c:pt idx="29">
                    <c:v>0.355</c:v>
                  </c:pt>
                  <c:pt idx="30">
                    <c:v>0.0605</c:v>
                  </c:pt>
                  <c:pt idx="31">
                    <c:v>0.815</c:v>
                  </c:pt>
                  <c:pt idx="32">
                    <c:v>0.1355</c:v>
                  </c:pt>
                  <c:pt idx="33">
                    <c:v>0.225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'KL2-G2'!$W$6:$W$39</c:f>
              <c:numCache>
                <c:formatCode>0_ </c:formatCode>
                <c:ptCount val="34"/>
                <c:pt idx="0">
                  <c:v>234449.8854712899</c:v>
                </c:pt>
                <c:pt idx="1">
                  <c:v>15775.64740736647</c:v>
                </c:pt>
                <c:pt idx="2">
                  <c:v>71789.01146153356</c:v>
                </c:pt>
                <c:pt idx="3">
                  <c:v>88830.88336203013</c:v>
                </c:pt>
                <c:pt idx="4">
                  <c:v>1325.854735472944</c:v>
                </c:pt>
                <c:pt idx="5">
                  <c:v>44640.01314453567</c:v>
                </c:pt>
                <c:pt idx="6">
                  <c:v>81049.39635653146</c:v>
                </c:pt>
                <c:pt idx="7">
                  <c:v>17173.68394634285</c:v>
                </c:pt>
                <c:pt idx="8">
                  <c:v>4210.757703913281</c:v>
                </c:pt>
                <c:pt idx="9">
                  <c:v>1191.699953437821</c:v>
                </c:pt>
                <c:pt idx="10" formatCode="0.0_ ">
                  <c:v>33.72567790590957</c:v>
                </c:pt>
                <c:pt idx="11">
                  <c:v>318.8034658567309</c:v>
                </c:pt>
                <c:pt idx="12">
                  <c:v>291.6143352428422</c:v>
                </c:pt>
                <c:pt idx="13" formatCode="0.0_ ">
                  <c:v>43.87553662497214</c:v>
                </c:pt>
                <c:pt idx="14">
                  <c:v>113.8283633671293</c:v>
                </c:pt>
                <c:pt idx="15" formatCode="0.0_ ">
                  <c:v>92.98890176355714</c:v>
                </c:pt>
                <c:pt idx="16">
                  <c:v>106.2355569554489</c:v>
                </c:pt>
                <c:pt idx="17" formatCode="0.0_ ">
                  <c:v>20.4480611454725</c:v>
                </c:pt>
                <c:pt idx="18" formatCode="0.00_ ">
                  <c:v>8.500314403107642</c:v>
                </c:pt>
                <c:pt idx="19">
                  <c:v>369.7826801455481</c:v>
                </c:pt>
                <c:pt idx="20" formatCode="0.0_ ">
                  <c:v>24.72913674047531</c:v>
                </c:pt>
                <c:pt idx="21">
                  <c:v>152.5236973884235</c:v>
                </c:pt>
                <c:pt idx="22" formatCode="0.0_ ">
                  <c:v>14.26284024603337</c:v>
                </c:pt>
                <c:pt idx="23" formatCode="0.0_ ">
                  <c:v>124.3240367984593</c:v>
                </c:pt>
                <c:pt idx="24" formatCode="0.0_ ">
                  <c:v>13.44737442071023</c:v>
                </c:pt>
                <c:pt idx="25" formatCode="0.0_ ">
                  <c:v>22.63643381624387</c:v>
                </c:pt>
                <c:pt idx="26" formatCode="0.00_ ">
                  <c:v>5.738593225605421</c:v>
                </c:pt>
                <c:pt idx="27" formatCode="0.00_ ">
                  <c:v>1.999479420757135</c:v>
                </c:pt>
                <c:pt idx="28" formatCode="0.00_ ">
                  <c:v>0.340118617619385</c:v>
                </c:pt>
                <c:pt idx="29" formatCode="0.00_ ">
                  <c:v>2.178333786797757</c:v>
                </c:pt>
                <c:pt idx="30" formatCode="0.00_ ">
                  <c:v>0.297870907096572</c:v>
                </c:pt>
                <c:pt idx="31" formatCode="0.00_ ">
                  <c:v>3.823126680509416</c:v>
                </c:pt>
                <c:pt idx="32" formatCode="0.00_ ">
                  <c:v>0.908091643419136</c:v>
                </c:pt>
                <c:pt idx="33" formatCode="0.00_ ">
                  <c:v>0.999250724742949</c:v>
                </c:pt>
              </c:numCache>
            </c:numRef>
          </c:xVal>
          <c:yVal>
            <c:numRef>
              <c:f>'KL2-G2'!$AD$6:$AD$39</c:f>
              <c:numCache>
                <c:formatCode>0_ </c:formatCode>
                <c:ptCount val="34"/>
                <c:pt idx="0">
                  <c:v>234790.2796271638</c:v>
                </c:pt>
                <c:pt idx="1">
                  <c:v>15470.95643465198</c:v>
                </c:pt>
                <c:pt idx="2">
                  <c:v>69902.91262135922</c:v>
                </c:pt>
                <c:pt idx="3">
                  <c:v>83167.57208524864</c:v>
                </c:pt>
                <c:pt idx="4">
                  <c:v>1281.696995344901</c:v>
                </c:pt>
                <c:pt idx="5">
                  <c:v>44028.29486224869</c:v>
                </c:pt>
                <c:pt idx="6">
                  <c:v>77569.08539846676</c:v>
                </c:pt>
                <c:pt idx="7">
                  <c:v>17141.4744313599</c:v>
                </c:pt>
                <c:pt idx="8">
                  <c:v>3985.136426372227</c:v>
                </c:pt>
                <c:pt idx="9">
                  <c:v>1052.62416343783</c:v>
                </c:pt>
                <c:pt idx="10" formatCode="0.0">
                  <c:v>32.05</c:v>
                </c:pt>
                <c:pt idx="11" formatCode="General">
                  <c:v>339.5</c:v>
                </c:pt>
                <c:pt idx="12" formatCode="General">
                  <c:v>302.0</c:v>
                </c:pt>
                <c:pt idx="13" formatCode="General">
                  <c:v>41.6</c:v>
                </c:pt>
                <c:pt idx="14" formatCode="General">
                  <c:v>114.0</c:v>
                </c:pt>
                <c:pt idx="15" formatCode="0.0">
                  <c:v>91.45</c:v>
                </c:pt>
                <c:pt idx="16" formatCode="General">
                  <c:v>111.0</c:v>
                </c:pt>
                <c:pt idx="17" formatCode="0.0">
                  <c:v>20.0</c:v>
                </c:pt>
                <c:pt idx="18" formatCode="0.00">
                  <c:v>8.8</c:v>
                </c:pt>
                <c:pt idx="19" formatCode="General">
                  <c:v>360.0</c:v>
                </c:pt>
                <c:pt idx="20" formatCode="General">
                  <c:v>26.1</c:v>
                </c:pt>
                <c:pt idx="21" formatCode="0">
                  <c:v>155.5</c:v>
                </c:pt>
                <c:pt idx="22" formatCode="General">
                  <c:v>15.4</c:v>
                </c:pt>
                <c:pt idx="23" formatCode="General">
                  <c:v>123.0</c:v>
                </c:pt>
                <c:pt idx="24" formatCode="0.0">
                  <c:v>13.15</c:v>
                </c:pt>
                <c:pt idx="25" formatCode="0.0">
                  <c:v>21.65</c:v>
                </c:pt>
                <c:pt idx="26" formatCode="0.00">
                  <c:v>5.545</c:v>
                </c:pt>
                <c:pt idx="27" formatCode="0.00">
                  <c:v>1.935</c:v>
                </c:pt>
                <c:pt idx="28" formatCode="0.00">
                  <c:v>0.3335</c:v>
                </c:pt>
                <c:pt idx="29" formatCode="0.00">
                  <c:v>2.115</c:v>
                </c:pt>
                <c:pt idx="30" formatCode="0.00">
                  <c:v>0.2905</c:v>
                </c:pt>
                <c:pt idx="31" formatCode="0.00">
                  <c:v>4.035</c:v>
                </c:pt>
                <c:pt idx="32" formatCode="0.00">
                  <c:v>0.9655</c:v>
                </c:pt>
                <c:pt idx="33" formatCode="0.00">
                  <c:v>1.025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2A-44AA-A07A-54AB2F827519}"/>
            </c:ext>
          </c:extLst>
        </c:ser>
        <c:ser>
          <c:idx val="2"/>
          <c:order val="1"/>
          <c:tx>
            <c:v>ML3B-G</c:v>
          </c:tx>
          <c:spPr>
            <a:ln w="19050">
              <a:noFill/>
            </a:ln>
          </c:spPr>
          <c:marker>
            <c:symbol val="circle"/>
            <c:size val="6"/>
            <c:spPr>
              <a:noFill/>
              <a:ln w="12700">
                <a:solidFill>
                  <a:srgbClr val="C00000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'ML3B-G'!$X$6:$X$39</c:f>
                <c:numCache>
                  <c:formatCode>General</c:formatCode>
                  <c:ptCount val="34"/>
                  <c:pt idx="0">
                    <c:v>3943.65048566571</c:v>
                  </c:pt>
                  <c:pt idx="1">
                    <c:v>228.6345772779309</c:v>
                  </c:pt>
                  <c:pt idx="2">
                    <c:v>878.0279964253566</c:v>
                  </c:pt>
                  <c:pt idx="3">
                    <c:v>4423.442949588765</c:v>
                  </c:pt>
                  <c:pt idx="4">
                    <c:v>21.94329698240298</c:v>
                  </c:pt>
                  <c:pt idx="5">
                    <c:v>1173.712514505805</c:v>
                  </c:pt>
                  <c:pt idx="6">
                    <c:v>912.2441535528557</c:v>
                  </c:pt>
                  <c:pt idx="7">
                    <c:v>386.3084576983003</c:v>
                  </c:pt>
                  <c:pt idx="8">
                    <c:v>70.81909498348622</c:v>
                  </c:pt>
                  <c:pt idx="9">
                    <c:v>47.62662336480155</c:v>
                  </c:pt>
                  <c:pt idx="10">
                    <c:v>1.224588822535121</c:v>
                  </c:pt>
                  <c:pt idx="11">
                    <c:v>4.073616315360084</c:v>
                  </c:pt>
                  <c:pt idx="12">
                    <c:v>9.703803262151915</c:v>
                  </c:pt>
                  <c:pt idx="13">
                    <c:v>0.886925175536458</c:v>
                  </c:pt>
                  <c:pt idx="14">
                    <c:v>3.144436531863164</c:v>
                  </c:pt>
                  <c:pt idx="15">
                    <c:v>8.384924327219382</c:v>
                  </c:pt>
                  <c:pt idx="16">
                    <c:v>3.325659890380954</c:v>
                  </c:pt>
                  <c:pt idx="17">
                    <c:v>0.93122935963427</c:v>
                  </c:pt>
                  <c:pt idx="18">
                    <c:v>0.256698446757802</c:v>
                  </c:pt>
                  <c:pt idx="19">
                    <c:v>4.500761238171667</c:v>
                  </c:pt>
                  <c:pt idx="20">
                    <c:v>0.764999633805034</c:v>
                  </c:pt>
                  <c:pt idx="21">
                    <c:v>2.17923361821216</c:v>
                  </c:pt>
                  <c:pt idx="22">
                    <c:v>0.252698803356183</c:v>
                  </c:pt>
                  <c:pt idx="23">
                    <c:v>2.528257473672186</c:v>
                  </c:pt>
                  <c:pt idx="24">
                    <c:v>0.326789365806216</c:v>
                  </c:pt>
                  <c:pt idx="25">
                    <c:v>0.748993930415264</c:v>
                  </c:pt>
                  <c:pt idx="26">
                    <c:v>0.384952083200028</c:v>
                  </c:pt>
                  <c:pt idx="27">
                    <c:v>0.127932255506772</c:v>
                  </c:pt>
                  <c:pt idx="28">
                    <c:v>0.0385326741507761</c:v>
                  </c:pt>
                  <c:pt idx="29">
                    <c:v>0.26796398658556</c:v>
                  </c:pt>
                  <c:pt idx="30">
                    <c:v>0.0263536522652939</c:v>
                  </c:pt>
                  <c:pt idx="31">
                    <c:v>0.190176012571187</c:v>
                  </c:pt>
                  <c:pt idx="32">
                    <c:v>0.0479874448158867</c:v>
                  </c:pt>
                  <c:pt idx="33">
                    <c:v>0.0478710071905509</c:v>
                  </c:pt>
                </c:numCache>
              </c:numRef>
            </c:plus>
            <c:minus>
              <c:numRef>
                <c:f>'ML3B-G'!$W$6:$W$39</c:f>
                <c:numCache>
                  <c:formatCode>General</c:formatCode>
                  <c:ptCount val="34"/>
                  <c:pt idx="0">
                    <c:v>241157.176262351</c:v>
                  </c:pt>
                  <c:pt idx="1">
                    <c:v>12773.51555283561</c:v>
                  </c:pt>
                  <c:pt idx="2">
                    <c:v>73445.27764369061</c:v>
                  </c:pt>
                  <c:pt idx="3">
                    <c:v>90360.83883165683</c:v>
                  </c:pt>
                  <c:pt idx="4">
                    <c:v>1352.079260122887</c:v>
                  </c:pt>
                  <c:pt idx="5">
                    <c:v>40268.00306850174</c:v>
                  </c:pt>
                  <c:pt idx="6">
                    <c:v>76596.22662064437</c:v>
                  </c:pt>
                  <c:pt idx="7">
                    <c:v>17749.56593003411</c:v>
                  </c:pt>
                  <c:pt idx="8">
                    <c:v>3327.583971983502</c:v>
                  </c:pt>
                  <c:pt idx="9">
                    <c:v>1055.395333972904</c:v>
                  </c:pt>
                  <c:pt idx="10">
                    <c:v>32.2547304241326</c:v>
                  </c:pt>
                  <c:pt idx="11">
                    <c:v>287.4873475621846</c:v>
                  </c:pt>
                  <c:pt idx="12">
                    <c:v>157.1611128304656</c:v>
                  </c:pt>
                  <c:pt idx="13">
                    <c:v>43.67022014320671</c:v>
                  </c:pt>
                  <c:pt idx="14">
                    <c:v>108.8674723005132</c:v>
                  </c:pt>
                  <c:pt idx="15">
                    <c:v>123.0293690725337</c:v>
                  </c:pt>
                  <c:pt idx="16">
                    <c:v>105.4449576072554</c:v>
                  </c:pt>
                  <c:pt idx="17">
                    <c:v>19.28215925265658</c:v>
                  </c:pt>
                  <c:pt idx="18">
                    <c:v>5.71197149471862</c:v>
                  </c:pt>
                  <c:pt idx="19">
                    <c:v>321.3823881012511</c:v>
                  </c:pt>
                  <c:pt idx="20">
                    <c:v>23.61200581350811</c:v>
                  </c:pt>
                  <c:pt idx="21">
                    <c:v>124.4350805088807</c:v>
                  </c:pt>
                  <c:pt idx="22">
                    <c:v>7.991073133894754</c:v>
                  </c:pt>
                  <c:pt idx="23">
                    <c:v>81.32962898094358</c:v>
                  </c:pt>
                  <c:pt idx="24">
                    <c:v>9.066172880935637</c:v>
                  </c:pt>
                  <c:pt idx="25">
                    <c:v>16.94402085352882</c:v>
                  </c:pt>
                  <c:pt idx="26">
                    <c:v>4.705551544017631</c:v>
                  </c:pt>
                  <c:pt idx="27">
                    <c:v>1.739245943369032</c:v>
                  </c:pt>
                  <c:pt idx="28">
                    <c:v>0.334837540748064</c:v>
                  </c:pt>
                  <c:pt idx="29">
                    <c:v>2.101428854124974</c:v>
                  </c:pt>
                  <c:pt idx="30">
                    <c:v>0.293252620841254</c:v>
                  </c:pt>
                  <c:pt idx="31">
                    <c:v>3.1800050630643</c:v>
                  </c:pt>
                  <c:pt idx="32">
                    <c:v>0.543368261457337</c:v>
                  </c:pt>
                  <c:pt idx="33">
                    <c:v>0.536744144094374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'ML3B-G'!$AH$6:$AH$39</c:f>
                <c:numCache>
                  <c:formatCode>General</c:formatCode>
                  <c:ptCount val="34"/>
                  <c:pt idx="0">
                    <c:v>6781.79094540613</c:v>
                  </c:pt>
                  <c:pt idx="1">
                    <c:v>3477.966950425638</c:v>
                  </c:pt>
                  <c:pt idx="2">
                    <c:v>3706.972639011467</c:v>
                  </c:pt>
                  <c:pt idx="3">
                    <c:v>5440.869201838708</c:v>
                  </c:pt>
                  <c:pt idx="4">
                    <c:v>2714.409648751587</c:v>
                  </c:pt>
                  <c:pt idx="5">
                    <c:v>1477.661950856294</c:v>
                  </c:pt>
                  <c:pt idx="6">
                    <c:v>2144.767338206453</c:v>
                  </c:pt>
                  <c:pt idx="7">
                    <c:v>2337.473786094528</c:v>
                  </c:pt>
                  <c:pt idx="8">
                    <c:v>132.837880879074</c:v>
                  </c:pt>
                  <c:pt idx="9">
                    <c:v>283.902782669954</c:v>
                  </c:pt>
                  <c:pt idx="10">
                    <c:v>3.799999999999997</c:v>
                  </c:pt>
                  <c:pt idx="11">
                    <c:v>120.0</c:v>
                  </c:pt>
                  <c:pt idx="12">
                    <c:v>426.5</c:v>
                  </c:pt>
                  <c:pt idx="13">
                    <c:v>12.8</c:v>
                  </c:pt>
                  <c:pt idx="14">
                    <c:v>64.0</c:v>
                  </c:pt>
                  <c:pt idx="15">
                    <c:v>29.5</c:v>
                  </c:pt>
                  <c:pt idx="16">
                    <c:v>22.0</c:v>
                  </c:pt>
                  <c:pt idx="17">
                    <c:v>6.699999999999999</c:v>
                  </c:pt>
                  <c:pt idx="18">
                    <c:v>4.2</c:v>
                  </c:pt>
                  <c:pt idx="19">
                    <c:v>93.5</c:v>
                  </c:pt>
                  <c:pt idx="20">
                    <c:v>3.5</c:v>
                  </c:pt>
                  <c:pt idx="21">
                    <c:v>51.0</c:v>
                  </c:pt>
                  <c:pt idx="22">
                    <c:v>1.495000000000001</c:v>
                  </c:pt>
                  <c:pt idx="23">
                    <c:v>39.95</c:v>
                  </c:pt>
                  <c:pt idx="24">
                    <c:v>1.904999999999999</c:v>
                  </c:pt>
                  <c:pt idx="25">
                    <c:v>1.949999999999999</c:v>
                  </c:pt>
                  <c:pt idx="26">
                    <c:v>0.54</c:v>
                  </c:pt>
                  <c:pt idx="27">
                    <c:v>0.145</c:v>
                  </c:pt>
                  <c:pt idx="28">
                    <c:v>0.05</c:v>
                  </c:pt>
                  <c:pt idx="29">
                    <c:v>0.475</c:v>
                  </c:pt>
                  <c:pt idx="30">
                    <c:v>0.064</c:v>
                  </c:pt>
                  <c:pt idx="31">
                    <c:v>1.33</c:v>
                  </c:pt>
                  <c:pt idx="32">
                    <c:v>0.0875</c:v>
                  </c:pt>
                  <c:pt idx="33">
                    <c:v>0.276</c:v>
                  </c:pt>
                </c:numCache>
              </c:numRef>
            </c:plus>
            <c:minus>
              <c:numRef>
                <c:f>'ML3B-G'!$AG$6:$AG$39</c:f>
                <c:numCache>
                  <c:formatCode>General</c:formatCode>
                  <c:ptCount val="34"/>
                  <c:pt idx="0">
                    <c:v>10523.46870838886</c:v>
                  </c:pt>
                  <c:pt idx="1">
                    <c:v>3837.75663495243</c:v>
                  </c:pt>
                  <c:pt idx="2">
                    <c:v>5825.242718446592</c:v>
                  </c:pt>
                  <c:pt idx="3">
                    <c:v>2331.80108650231</c:v>
                  </c:pt>
                  <c:pt idx="4">
                    <c:v>212.970799830724</c:v>
                  </c:pt>
                  <c:pt idx="5">
                    <c:v>4131.42218912881</c:v>
                  </c:pt>
                  <c:pt idx="6">
                    <c:v>10008.91424496345</c:v>
                  </c:pt>
                  <c:pt idx="7">
                    <c:v>630.7468946604312</c:v>
                  </c:pt>
                  <c:pt idx="8">
                    <c:v>282.280496868033</c:v>
                  </c:pt>
                  <c:pt idx="9">
                    <c:v>196.5480803099683</c:v>
                  </c:pt>
                  <c:pt idx="10">
                    <c:v>5.54</c:v>
                  </c:pt>
                  <c:pt idx="11">
                    <c:v>66.0</c:v>
                  </c:pt>
                  <c:pt idx="12">
                    <c:v>33.5</c:v>
                  </c:pt>
                  <c:pt idx="13">
                    <c:v>12.1</c:v>
                  </c:pt>
                  <c:pt idx="14">
                    <c:v>36.0</c:v>
                  </c:pt>
                  <c:pt idx="15">
                    <c:v>20.3</c:v>
                  </c:pt>
                  <c:pt idx="16">
                    <c:v>49.0</c:v>
                  </c:pt>
                  <c:pt idx="17">
                    <c:v>4.600000000000001</c:v>
                  </c:pt>
                  <c:pt idx="18">
                    <c:v>1.2</c:v>
                  </c:pt>
                  <c:pt idx="19">
                    <c:v>23.5</c:v>
                  </c:pt>
                  <c:pt idx="20">
                    <c:v>3.100000000000001</c:v>
                  </c:pt>
                  <c:pt idx="21">
                    <c:v>19.0</c:v>
                  </c:pt>
                  <c:pt idx="22">
                    <c:v>3.805</c:v>
                  </c:pt>
                  <c:pt idx="23">
                    <c:v>10.15</c:v>
                  </c:pt>
                  <c:pt idx="24">
                    <c:v>0.765</c:v>
                  </c:pt>
                  <c:pt idx="25">
                    <c:v>1.75</c:v>
                  </c:pt>
                  <c:pt idx="26">
                    <c:v>0.689999999999999</c:v>
                  </c:pt>
                  <c:pt idx="27">
                    <c:v>0.175</c:v>
                  </c:pt>
                  <c:pt idx="28">
                    <c:v>0.075</c:v>
                  </c:pt>
                  <c:pt idx="29">
                    <c:v>0.645</c:v>
                  </c:pt>
                  <c:pt idx="30">
                    <c:v>0.0959999999999999</c:v>
                  </c:pt>
                  <c:pt idx="31">
                    <c:v>1.2</c:v>
                  </c:pt>
                  <c:pt idx="32">
                    <c:v>0.1525</c:v>
                  </c:pt>
                  <c:pt idx="33">
                    <c:v>0.094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'ML3B-G'!$W$6:$W$39</c:f>
              <c:numCache>
                <c:formatCode>0_ </c:formatCode>
                <c:ptCount val="34"/>
                <c:pt idx="0">
                  <c:v>241157.176262351</c:v>
                </c:pt>
                <c:pt idx="1">
                  <c:v>12773.51555283561</c:v>
                </c:pt>
                <c:pt idx="2">
                  <c:v>73445.27764369061</c:v>
                </c:pt>
                <c:pt idx="3">
                  <c:v>90360.83883165683</c:v>
                </c:pt>
                <c:pt idx="4">
                  <c:v>1352.079260122887</c:v>
                </c:pt>
                <c:pt idx="5">
                  <c:v>40268.00306850174</c:v>
                </c:pt>
                <c:pt idx="6">
                  <c:v>76596.22662064437</c:v>
                </c:pt>
                <c:pt idx="7">
                  <c:v>17749.56593003411</c:v>
                </c:pt>
                <c:pt idx="8">
                  <c:v>3327.583971983502</c:v>
                </c:pt>
                <c:pt idx="9">
                  <c:v>1055.395333972904</c:v>
                </c:pt>
                <c:pt idx="10" formatCode="0.0_ ">
                  <c:v>32.2547304241326</c:v>
                </c:pt>
                <c:pt idx="11">
                  <c:v>287.4873475621846</c:v>
                </c:pt>
                <c:pt idx="12">
                  <c:v>157.1611128304656</c:v>
                </c:pt>
                <c:pt idx="13" formatCode="0.0_ ">
                  <c:v>43.67022014320671</c:v>
                </c:pt>
                <c:pt idx="14">
                  <c:v>108.8674723005132</c:v>
                </c:pt>
                <c:pt idx="15" formatCode="0.0_ ">
                  <c:v>123.0293690725337</c:v>
                </c:pt>
                <c:pt idx="16">
                  <c:v>105.4449576072554</c:v>
                </c:pt>
                <c:pt idx="17" formatCode="0.0_ ">
                  <c:v>19.28215925265658</c:v>
                </c:pt>
                <c:pt idx="18" formatCode="0.00_ ">
                  <c:v>5.71197149471862</c:v>
                </c:pt>
                <c:pt idx="19">
                  <c:v>321.3823881012511</c:v>
                </c:pt>
                <c:pt idx="20" formatCode="0.0_ ">
                  <c:v>23.61200581350811</c:v>
                </c:pt>
                <c:pt idx="21">
                  <c:v>124.4350805088807</c:v>
                </c:pt>
                <c:pt idx="22" formatCode="0.0_ ">
                  <c:v>7.991073133894754</c:v>
                </c:pt>
                <c:pt idx="23" formatCode="0.0_ ">
                  <c:v>81.32962898094358</c:v>
                </c:pt>
                <c:pt idx="24" formatCode="0.0_ ">
                  <c:v>9.066172880935637</c:v>
                </c:pt>
                <c:pt idx="25" formatCode="0.0_ ">
                  <c:v>16.94402085352882</c:v>
                </c:pt>
                <c:pt idx="26" formatCode="0.00_ ">
                  <c:v>4.705551544017631</c:v>
                </c:pt>
                <c:pt idx="27" formatCode="0.00_ ">
                  <c:v>1.739245943369032</c:v>
                </c:pt>
                <c:pt idx="28" formatCode="0.00_ ">
                  <c:v>0.334837540748064</c:v>
                </c:pt>
                <c:pt idx="29" formatCode="0.00_ ">
                  <c:v>2.101428854124974</c:v>
                </c:pt>
                <c:pt idx="30" formatCode="0.00_ ">
                  <c:v>0.293252620841254</c:v>
                </c:pt>
                <c:pt idx="31" formatCode="0.00_ ">
                  <c:v>3.1800050630643</c:v>
                </c:pt>
                <c:pt idx="32" formatCode="0.00_ ">
                  <c:v>0.543368261457337</c:v>
                </c:pt>
                <c:pt idx="33" formatCode="0.00_ ">
                  <c:v>0.536744144094374</c:v>
                </c:pt>
              </c:numCache>
            </c:numRef>
          </c:xVal>
          <c:yVal>
            <c:numRef>
              <c:f>'ML3B-G'!$AD$6:$AD$39</c:f>
              <c:numCache>
                <c:formatCode>0_ </c:formatCode>
                <c:ptCount val="34"/>
                <c:pt idx="0">
                  <c:v>239233.5219707057</c:v>
                </c:pt>
                <c:pt idx="1">
                  <c:v>12652.60390585879</c:v>
                </c:pt>
                <c:pt idx="2">
                  <c:v>71491.61518093556</c:v>
                </c:pt>
                <c:pt idx="3">
                  <c:v>84722.10614291684</c:v>
                </c:pt>
                <c:pt idx="4">
                  <c:v>1312.674566229369</c:v>
                </c:pt>
                <c:pt idx="5">
                  <c:v>39655.62174236783</c:v>
                </c:pt>
                <c:pt idx="6">
                  <c:v>75066.85683722589</c:v>
                </c:pt>
                <c:pt idx="7">
                  <c:v>17623.81029198258</c:v>
                </c:pt>
                <c:pt idx="8">
                  <c:v>3188.109141097782</c:v>
                </c:pt>
                <c:pt idx="9">
                  <c:v>1026.417752729835</c:v>
                </c:pt>
                <c:pt idx="10" formatCode="0.0">
                  <c:v>31.5</c:v>
                </c:pt>
                <c:pt idx="11" formatCode="General">
                  <c:v>254.0</c:v>
                </c:pt>
                <c:pt idx="12" formatCode="General">
                  <c:v>173.5</c:v>
                </c:pt>
                <c:pt idx="13" formatCode="General">
                  <c:v>40.1</c:v>
                </c:pt>
                <c:pt idx="14" formatCode="General">
                  <c:v>106.0</c:v>
                </c:pt>
                <c:pt idx="15" formatCode="0.0">
                  <c:v>113.5</c:v>
                </c:pt>
                <c:pt idx="16" formatCode="General">
                  <c:v>110.0</c:v>
                </c:pt>
                <c:pt idx="17" formatCode="0.0">
                  <c:v>19.3</c:v>
                </c:pt>
                <c:pt idx="18" formatCode="0.00">
                  <c:v>5.8</c:v>
                </c:pt>
                <c:pt idx="19" formatCode="0">
                  <c:v>313.5</c:v>
                </c:pt>
                <c:pt idx="20" formatCode="General">
                  <c:v>24.1</c:v>
                </c:pt>
                <c:pt idx="21" formatCode="0">
                  <c:v>124.0</c:v>
                </c:pt>
                <c:pt idx="22" formatCode="0.00">
                  <c:v>8.805</c:v>
                </c:pt>
                <c:pt idx="23" formatCode="0.0">
                  <c:v>80.05</c:v>
                </c:pt>
                <c:pt idx="24" formatCode="0.00">
                  <c:v>8.975</c:v>
                </c:pt>
                <c:pt idx="25" formatCode="0.0">
                  <c:v>16.75</c:v>
                </c:pt>
                <c:pt idx="26" formatCode="0.00">
                  <c:v>4.769999999999999</c:v>
                </c:pt>
                <c:pt idx="27" formatCode="0.00">
                  <c:v>1.675</c:v>
                </c:pt>
                <c:pt idx="28" formatCode="0.00">
                  <c:v>0.325</c:v>
                </c:pt>
                <c:pt idx="29" formatCode="0.00">
                  <c:v>2.055</c:v>
                </c:pt>
                <c:pt idx="30" formatCode="0.00">
                  <c:v>0.286</c:v>
                </c:pt>
                <c:pt idx="31" formatCode="0.00">
                  <c:v>3.27</c:v>
                </c:pt>
                <c:pt idx="32" formatCode="0.00">
                  <c:v>0.5525</c:v>
                </c:pt>
                <c:pt idx="33" formatCode="0.00">
                  <c:v>0.544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2A-44AA-A07A-54AB2F827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666888"/>
        <c:axId val="-2141660856"/>
      </c:scatterChart>
      <c:valAx>
        <c:axId val="-2141666888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altLang="zh-CN" sz="800" b="0" baseline="0"/>
                  <a:t>LA-ICP-MS result</a:t>
                </a:r>
                <a:r>
                  <a:rPr lang="en-US" sz="800" b="0" baseline="0"/>
                  <a:t> (ppm)</a:t>
                </a:r>
                <a:endParaRPr lang="en-US" sz="800" b="0"/>
              </a:p>
            </c:rich>
          </c:tx>
          <c:layout/>
          <c:overlay val="0"/>
        </c:title>
        <c:numFmt formatCode="General" sourceLinked="0"/>
        <c:majorTickMark val="out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宋体"/>
                <a:cs typeface="Arial" panose="020B0604020202020204" pitchFamily="34" charset="0"/>
              </a:defRPr>
            </a:pPr>
            <a:endParaRPr lang="en-US"/>
          </a:p>
        </c:txPr>
        <c:crossAx val="-2141660856"/>
        <c:crossesAt val="0.1"/>
        <c:crossBetween val="midCat"/>
      </c:valAx>
      <c:valAx>
        <c:axId val="-2141660856"/>
        <c:scaling>
          <c:logBase val="10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800" b="0"/>
                </a:pPr>
                <a:r>
                  <a:rPr lang="en-US" sz="800" b="0" baseline="0"/>
                  <a:t>Preferred Value (ppm)</a:t>
                </a:r>
                <a:endParaRPr lang="en-US" sz="800" b="0"/>
              </a:p>
            </c:rich>
          </c:tx>
          <c:layout/>
          <c:overlay val="0"/>
        </c:title>
        <c:numFmt formatCode="General" sourceLinked="0"/>
        <c:majorTickMark val="out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-2141666888"/>
        <c:crossesAt val="0.1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00560850946263"/>
          <c:y val="0.667640857392826"/>
          <c:w val="0.191781553621587"/>
          <c:h val="0.161932195975503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184150</xdr:colOff>
      <xdr:row>60</xdr:row>
      <xdr:rowOff>152400</xdr:rowOff>
    </xdr:from>
    <xdr:to>
      <xdr:col>10</xdr:col>
      <xdr:colOff>127000</xdr:colOff>
      <xdr:row>73</xdr:row>
      <xdr:rowOff>76200</xdr:rowOff>
    </xdr:to>
    <xdr:grpSp>
      <xdr:nvGrpSpPr>
        <xdr:cNvPr id="1043" name="组合 1">
          <a:extLst>
            <a:ext uri="{FF2B5EF4-FFF2-40B4-BE49-F238E27FC236}">
              <a16:creationId xmlns="" xmlns:a16="http://schemas.microsoft.com/office/drawing/2014/main" id="{F4A8CBFF-6DAA-4B10-88B7-6B031085FBE7}"/>
            </a:ext>
          </a:extLst>
        </xdr:cNvPr>
        <xdr:cNvGrpSpPr>
          <a:grpSpLocks/>
        </xdr:cNvGrpSpPr>
      </xdr:nvGrpSpPr>
      <xdr:grpSpPr bwMode="auto">
        <a:xfrm>
          <a:off x="3552411" y="10787270"/>
          <a:ext cx="3311111" cy="2220843"/>
          <a:chOff x="3492500" y="10287000"/>
          <a:chExt cx="3245135" cy="2239118"/>
        </a:xfrm>
      </xdr:grpSpPr>
      <xdr:cxnSp macro="">
        <xdr:nvCxnSpPr>
          <xdr:cNvPr id="5" name="直接连接符 4">
            <a:extLst>
              <a:ext uri="{FF2B5EF4-FFF2-40B4-BE49-F238E27FC236}">
                <a16:creationId xmlns="" xmlns:a16="http://schemas.microsoft.com/office/drawing/2014/main" id="{A0F61F2B-3233-4F6F-8F83-82CD3753C534}"/>
              </a:ext>
            </a:extLst>
          </xdr:cNvPr>
          <xdr:cNvCxnSpPr/>
        </xdr:nvCxnSpPr>
        <xdr:spPr>
          <a:xfrm flipV="1">
            <a:off x="3924338" y="10356972"/>
            <a:ext cx="2546574" cy="1851089"/>
          </a:xfrm>
          <a:prstGeom prst="line">
            <a:avLst/>
          </a:prstGeom>
          <a:ln w="19050">
            <a:solidFill>
              <a:srgbClr val="FF0000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aphicFrame macro="">
        <xdr:nvGraphicFramePr>
          <xdr:cNvPr id="1048" name="图表 3">
            <a:extLst>
              <a:ext uri="{FF2B5EF4-FFF2-40B4-BE49-F238E27FC236}">
                <a16:creationId xmlns="" xmlns:a16="http://schemas.microsoft.com/office/drawing/2014/main" id="{6D415D66-C1E7-4463-8D9B-22892D9C0054}"/>
              </a:ext>
            </a:extLst>
          </xdr:cNvPr>
          <xdr:cNvGraphicFramePr>
            <a:graphicFrameLocks/>
          </xdr:cNvGraphicFramePr>
        </xdr:nvGraphicFramePr>
        <xdr:xfrm>
          <a:off x="3492500" y="10287000"/>
          <a:ext cx="3245135" cy="22391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</xdr:grpSp>
    <xdr:clientData/>
  </xdr:twoCellAnchor>
  <xdr:twoCellAnchor>
    <xdr:from>
      <xdr:col>10</xdr:col>
      <xdr:colOff>120650</xdr:colOff>
      <xdr:row>60</xdr:row>
      <xdr:rowOff>152400</xdr:rowOff>
    </xdr:from>
    <xdr:to>
      <xdr:col>15</xdr:col>
      <xdr:colOff>63500</xdr:colOff>
      <xdr:row>73</xdr:row>
      <xdr:rowOff>76200</xdr:rowOff>
    </xdr:to>
    <xdr:grpSp>
      <xdr:nvGrpSpPr>
        <xdr:cNvPr id="1044" name="组合 6">
          <a:extLst>
            <a:ext uri="{FF2B5EF4-FFF2-40B4-BE49-F238E27FC236}">
              <a16:creationId xmlns="" xmlns:a16="http://schemas.microsoft.com/office/drawing/2014/main" id="{3A390099-0FB0-46FE-A8D8-8F251AC574C2}"/>
            </a:ext>
          </a:extLst>
        </xdr:cNvPr>
        <xdr:cNvGrpSpPr>
          <a:grpSpLocks/>
        </xdr:cNvGrpSpPr>
      </xdr:nvGrpSpPr>
      <xdr:grpSpPr bwMode="auto">
        <a:xfrm>
          <a:off x="6857172" y="10787270"/>
          <a:ext cx="3311111" cy="2220843"/>
          <a:chOff x="6728492" y="10287000"/>
          <a:chExt cx="3244832" cy="2238207"/>
        </a:xfrm>
      </xdr:grpSpPr>
      <xdr:cxnSp macro="">
        <xdr:nvCxnSpPr>
          <xdr:cNvPr id="6" name="直接连接符 5">
            <a:extLst>
              <a:ext uri="{FF2B5EF4-FFF2-40B4-BE49-F238E27FC236}">
                <a16:creationId xmlns="" xmlns:a16="http://schemas.microsoft.com/office/drawing/2014/main" id="{801B15B0-61B7-493E-A2B2-A3214E8D8976}"/>
              </a:ext>
            </a:extLst>
          </xdr:cNvPr>
          <xdr:cNvCxnSpPr/>
        </xdr:nvCxnSpPr>
        <xdr:spPr>
          <a:xfrm flipV="1">
            <a:off x="7217439" y="10356944"/>
            <a:ext cx="2476486" cy="1850336"/>
          </a:xfrm>
          <a:prstGeom prst="line">
            <a:avLst/>
          </a:prstGeom>
          <a:ln w="19050">
            <a:solidFill>
              <a:srgbClr val="0000FF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aphicFrame macro="">
        <xdr:nvGraphicFramePr>
          <xdr:cNvPr id="1046" name="图表 3">
            <a:extLst>
              <a:ext uri="{FF2B5EF4-FFF2-40B4-BE49-F238E27FC236}">
                <a16:creationId xmlns="" xmlns:a16="http://schemas.microsoft.com/office/drawing/2014/main" id="{89CADED6-1D0B-4FB1-A9B6-C3DB439D8447}"/>
              </a:ext>
            </a:extLst>
          </xdr:cNvPr>
          <xdr:cNvGraphicFramePr>
            <a:graphicFrameLocks/>
          </xdr:cNvGraphicFramePr>
        </xdr:nvGraphicFramePr>
        <xdr:xfrm>
          <a:off x="6728492" y="10287000"/>
          <a:ext cx="3244832" cy="22382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0.1557</cdr:x>
      <cdr:y>0.02398</cdr:y>
    </cdr:from>
    <cdr:to>
      <cdr:x>0.20114</cdr:x>
      <cdr:y>0.11977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18C08281-57B9-4735-A335-11E6AED35F3A}"/>
            </a:ext>
          </a:extLst>
        </cdr:cNvPr>
        <cdr:cNvSpPr txBox="1"/>
      </cdr:nvSpPr>
      <cdr:spPr>
        <a:xfrm xmlns:a="http://schemas.openxmlformats.org/drawingml/2006/main">
          <a:off x="504002" y="53847"/>
          <a:ext cx="147081" cy="215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000" b="1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  <a:endParaRPr lang="zh-CN" altLang="en-US" sz="1000" b="1" i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0.81267</cdr:x>
      <cdr:y>0.01031</cdr:y>
    </cdr:from>
    <cdr:to>
      <cdr:x>0.90172</cdr:x>
      <cdr:y>0.11593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34E8C134-BFE4-48C4-9166-21178D91FD36}"/>
            </a:ext>
          </a:extLst>
        </cdr:cNvPr>
        <cdr:cNvSpPr txBox="1"/>
      </cdr:nvSpPr>
      <cdr:spPr>
        <a:xfrm xmlns:a="http://schemas.openxmlformats.org/drawingml/2006/main">
          <a:off x="2620717" y="23082"/>
          <a:ext cx="284274" cy="235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Ti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0.82355</cdr:x>
      <cdr:y>0.12377</cdr:y>
    </cdr:from>
    <cdr:to>
      <cdr:x>0.92508</cdr:x>
      <cdr:y>0.27697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82686C14-5778-4435-9536-C030689FAE4A}"/>
            </a:ext>
          </a:extLst>
        </cdr:cNvPr>
        <cdr:cNvSpPr txBox="1"/>
      </cdr:nvSpPr>
      <cdr:spPr>
        <a:xfrm xmlns:a="http://schemas.openxmlformats.org/drawingml/2006/main">
          <a:off x="2655221" y="276062"/>
          <a:ext cx="324000" cy="3409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Al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0.69893</cdr:x>
      <cdr:y>0.07205</cdr:y>
    </cdr:from>
    <cdr:to>
      <cdr:x>0.81157</cdr:x>
      <cdr:y>0.23281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65C2EC1-D751-4D0C-BAB9-2BDBD1E8666A}"/>
            </a:ext>
          </a:extLst>
        </cdr:cNvPr>
        <cdr:cNvSpPr txBox="1"/>
      </cdr:nvSpPr>
      <cdr:spPr>
        <a:xfrm xmlns:a="http://schemas.openxmlformats.org/drawingml/2006/main">
          <a:off x="2257126" y="161319"/>
          <a:ext cx="360000" cy="356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Mg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0.78175</cdr:x>
      <cdr:y>0.17291</cdr:y>
    </cdr:from>
    <cdr:to>
      <cdr:x>0.87644</cdr:x>
      <cdr:y>0.33201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FCA5A43-1C25-43CB-99B7-6B59EB182397}"/>
            </a:ext>
          </a:extLst>
        </cdr:cNvPr>
        <cdr:cNvSpPr txBox="1"/>
      </cdr:nvSpPr>
      <cdr:spPr>
        <a:xfrm xmlns:a="http://schemas.openxmlformats.org/drawingml/2006/main">
          <a:off x="2521187" y="386658"/>
          <a:ext cx="302544" cy="354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V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0.61523</cdr:x>
      <cdr:y>0.19172</cdr:y>
    </cdr:from>
    <cdr:to>
      <cdr:x>0.72786</cdr:x>
      <cdr:y>0.35132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8E0C9160-3D3B-4765-9DC3-47BDA966683F}"/>
            </a:ext>
          </a:extLst>
        </cdr:cNvPr>
        <cdr:cNvSpPr txBox="1"/>
      </cdr:nvSpPr>
      <cdr:spPr>
        <a:xfrm xmlns:a="http://schemas.openxmlformats.org/drawingml/2006/main">
          <a:off x="1990224" y="428224"/>
          <a:ext cx="360000" cy="356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Mn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0.66441</cdr:x>
      <cdr:y>0.28386</cdr:y>
    </cdr:from>
    <cdr:to>
      <cdr:x>0.75911</cdr:x>
      <cdr:y>0.44343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33109843-722E-4650-A874-2BFBBD733301}"/>
            </a:ext>
          </a:extLst>
        </cdr:cNvPr>
        <cdr:cNvSpPr txBox="1"/>
      </cdr:nvSpPr>
      <cdr:spPr>
        <a:xfrm xmlns:a="http://schemas.openxmlformats.org/drawingml/2006/main">
          <a:off x="2146675" y="633974"/>
          <a:ext cx="303355" cy="3551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Cr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0.55091</cdr:x>
      <cdr:y>0.25753</cdr:y>
    </cdr:from>
    <cdr:to>
      <cdr:x>0.64631</cdr:x>
      <cdr:y>0.41686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0782EA15-2E1D-445F-82C3-1C1888D52662}"/>
            </a:ext>
          </a:extLst>
        </cdr:cNvPr>
        <cdr:cNvSpPr txBox="1"/>
      </cdr:nvSpPr>
      <cdr:spPr>
        <a:xfrm xmlns:a="http://schemas.openxmlformats.org/drawingml/2006/main">
          <a:off x="1785404" y="575053"/>
          <a:ext cx="304881" cy="355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Zn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0.61644</cdr:x>
      <cdr:y>0.33673</cdr:y>
    </cdr:from>
    <cdr:to>
      <cdr:x>0.7121</cdr:x>
      <cdr:y>0.49532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8126ECF5-3119-48AA-AFAF-67D2F031561E}"/>
            </a:ext>
          </a:extLst>
        </cdr:cNvPr>
        <cdr:cNvSpPr txBox="1"/>
      </cdr:nvSpPr>
      <cdr:spPr>
        <a:xfrm xmlns:a="http://schemas.openxmlformats.org/drawingml/2006/main">
          <a:off x="1994921" y="751291"/>
          <a:ext cx="304945" cy="353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Ni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0.49504</cdr:x>
      <cdr:y>0.32467</cdr:y>
    </cdr:from>
    <cdr:to>
      <cdr:x>0.59633</cdr:x>
      <cdr:y>0.48375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DF69D3B2-6CE0-42A5-B2E3-BAEB28AC5407}"/>
            </a:ext>
          </a:extLst>
        </cdr:cNvPr>
        <cdr:cNvSpPr txBox="1"/>
      </cdr:nvSpPr>
      <cdr:spPr>
        <a:xfrm xmlns:a="http://schemas.openxmlformats.org/drawingml/2006/main">
          <a:off x="1606476" y="725352"/>
          <a:ext cx="324000" cy="354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Co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0.49344</cdr:x>
      <cdr:y>0.46871</cdr:y>
    </cdr:from>
    <cdr:to>
      <cdr:x>0.59497</cdr:x>
      <cdr:y>0.629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2CDD8A8-8659-4689-BA61-32950B1B2F20}"/>
            </a:ext>
          </a:extLst>
        </cdr:cNvPr>
        <cdr:cNvSpPr txBox="1"/>
      </cdr:nvSpPr>
      <cdr:spPr>
        <a:xfrm xmlns:a="http://schemas.openxmlformats.org/drawingml/2006/main">
          <a:off x="1601284" y="1045223"/>
          <a:ext cx="324000" cy="357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Ga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0.36188</cdr:x>
      <cdr:y>0.44351</cdr:y>
    </cdr:from>
    <cdr:to>
      <cdr:x>0.45752</cdr:x>
      <cdr:y>0.60285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9E6DE649-6387-47BF-B150-3F31A1838092}"/>
            </a:ext>
          </a:extLst>
        </cdr:cNvPr>
        <cdr:cNvSpPr txBox="1"/>
      </cdr:nvSpPr>
      <cdr:spPr>
        <a:xfrm xmlns:a="http://schemas.openxmlformats.org/drawingml/2006/main">
          <a:off x="1182996" y="989332"/>
          <a:ext cx="304102" cy="3551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Sc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0.42151</cdr:x>
      <cdr:y>0.54451</cdr:y>
    </cdr:from>
    <cdr:to>
      <cdr:x>0.51669</cdr:x>
      <cdr:y>0.70358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17F7EF0C-755E-43D2-9F84-A9BAF93720EE}"/>
            </a:ext>
          </a:extLst>
        </cdr:cNvPr>
        <cdr:cNvSpPr txBox="1"/>
      </cdr:nvSpPr>
      <cdr:spPr>
        <a:xfrm xmlns:a="http://schemas.openxmlformats.org/drawingml/2006/main">
          <a:off x="1373367" y="1214403"/>
          <a:ext cx="303356" cy="355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Zr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0.2327</cdr:x>
      <cdr:y>0.61121</cdr:y>
    </cdr:from>
    <cdr:to>
      <cdr:x>0.33424</cdr:x>
      <cdr:y>0.76984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40288381-A9CC-48A6-BD66-B83E0D28C0F4}"/>
            </a:ext>
          </a:extLst>
        </cdr:cNvPr>
        <cdr:cNvSpPr txBox="1"/>
      </cdr:nvSpPr>
      <cdr:spPr>
        <a:xfrm xmlns:a="http://schemas.openxmlformats.org/drawingml/2006/main">
          <a:off x="770863" y="1363237"/>
          <a:ext cx="324000" cy="355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700"/>
            </a:lnSpc>
          </a:pPr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Nb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0.16273</cdr:x>
      <cdr:y>0.64374</cdr:y>
    </cdr:from>
    <cdr:to>
      <cdr:x>0.25765</cdr:x>
      <cdr:y>0.77988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ABFD703F-1F50-4024-8625-395D8A01F36C}"/>
            </a:ext>
          </a:extLst>
        </cdr:cNvPr>
        <cdr:cNvSpPr txBox="1"/>
      </cdr:nvSpPr>
      <cdr:spPr>
        <a:xfrm xmlns:a="http://schemas.openxmlformats.org/drawingml/2006/main">
          <a:off x="546938" y="1436081"/>
          <a:ext cx="302544" cy="304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Hf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0.16678</cdr:x>
      <cdr:y>0.79446</cdr:y>
    </cdr:from>
    <cdr:to>
      <cdr:x>0.26195</cdr:x>
      <cdr:y>0.79809</cdr:y>
    </cdr:to>
    <cdr:sp macro="" textlink="">
      <cdr:nvSpPr>
        <cdr:cNvPr id="2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AF7E0AE4-E06A-4127-B9C2-577F9D0E9822}"/>
            </a:ext>
          </a:extLst>
        </cdr:cNvPr>
        <cdr:cNvSpPr txBox="1"/>
      </cdr:nvSpPr>
      <cdr:spPr>
        <a:xfrm xmlns:a="http://schemas.openxmlformats.org/drawingml/2006/main">
          <a:off x="560089" y="1773538"/>
          <a:ext cx="304134" cy="7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Ta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0.19091</cdr:x>
      <cdr:y>0.02901</cdr:y>
    </cdr:from>
    <cdr:to>
      <cdr:x>0.22453</cdr:x>
      <cdr:y>0.10841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429D62D-2AFE-4332-A499-C9B753CD62A8}"/>
            </a:ext>
          </a:extLst>
        </cdr:cNvPr>
        <cdr:cNvSpPr txBox="1"/>
      </cdr:nvSpPr>
      <cdr:spPr>
        <a:xfrm xmlns:a="http://schemas.openxmlformats.org/drawingml/2006/main">
          <a:off x="621567" y="64430"/>
          <a:ext cx="109490" cy="1763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zh-CN" sz="1000" b="1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b</a:t>
          </a:r>
          <a:endParaRPr lang="zh-CN" altLang="en-US" sz="1000" b="1" i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0.77421</cdr:x>
      <cdr:y>0.03205</cdr:y>
    </cdr:from>
    <cdr:to>
      <cdr:x>0.87393</cdr:x>
      <cdr:y>0.10906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081A89B9-CAA9-48EB-9401-1847D957C8A4}"/>
            </a:ext>
          </a:extLst>
        </cdr:cNvPr>
        <cdr:cNvSpPr txBox="1"/>
      </cdr:nvSpPr>
      <cdr:spPr>
        <a:xfrm xmlns:a="http://schemas.openxmlformats.org/drawingml/2006/main">
          <a:off x="2515585" y="72363"/>
          <a:ext cx="324000" cy="173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Si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0.71937</cdr:x>
      <cdr:y>0.07734</cdr:y>
    </cdr:from>
    <cdr:to>
      <cdr:x>0.81259</cdr:x>
      <cdr:y>0.16294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8F03FB15-691D-4D84-9B64-887AE95F4A01}"/>
            </a:ext>
          </a:extLst>
        </cdr:cNvPr>
        <cdr:cNvSpPr txBox="1"/>
      </cdr:nvSpPr>
      <cdr:spPr>
        <a:xfrm xmlns:a="http://schemas.openxmlformats.org/drawingml/2006/main">
          <a:off x="2337388" y="174622"/>
          <a:ext cx="302890" cy="1932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Fe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</cdr:x>
      <cdr:y>0.12893</cdr:y>
    </cdr:from>
    <cdr:to>
      <cdr:x>0.89131</cdr:x>
      <cdr:y>0.21454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B6BD4086-B2A6-4CE2-8968-31BFD54A79F4}"/>
            </a:ext>
          </a:extLst>
        </cdr:cNvPr>
        <cdr:cNvSpPr txBox="1"/>
      </cdr:nvSpPr>
      <cdr:spPr>
        <a:xfrm xmlns:a="http://schemas.openxmlformats.org/drawingml/2006/main">
          <a:off x="2572082" y="291115"/>
          <a:ext cx="324000" cy="193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Ca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0.76504</cdr:x>
      <cdr:y>0.16534</cdr:y>
    </cdr:from>
    <cdr:to>
      <cdr:x>0.86864</cdr:x>
      <cdr:y>0.25071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B0308C93-1919-437A-8E6C-3F6C6ECCB0E1}"/>
            </a:ext>
          </a:extLst>
        </cdr:cNvPr>
        <cdr:cNvSpPr txBox="1"/>
      </cdr:nvSpPr>
      <cdr:spPr>
        <a:xfrm xmlns:a="http://schemas.openxmlformats.org/drawingml/2006/main">
          <a:off x="2485783" y="373332"/>
          <a:ext cx="336628" cy="192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Mg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0.68819</cdr:x>
      <cdr:y>0.11871</cdr:y>
    </cdr:from>
    <cdr:to>
      <cdr:x>0.7879</cdr:x>
      <cdr:y>0.20457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D6D00EB9-EC84-402C-B9C0-90CD4198355D}"/>
            </a:ext>
          </a:extLst>
        </cdr:cNvPr>
        <cdr:cNvSpPr txBox="1"/>
      </cdr:nvSpPr>
      <cdr:spPr>
        <a:xfrm xmlns:a="http://schemas.openxmlformats.org/drawingml/2006/main">
          <a:off x="2236071" y="268051"/>
          <a:ext cx="324000" cy="1938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Al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0.63375</cdr:x>
      <cdr:y>0.15993</cdr:y>
    </cdr:from>
    <cdr:to>
      <cdr:x>0.73347</cdr:x>
      <cdr:y>0.24554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DD3A0B3E-FD5D-42B5-AA07-6B946C7DCF94}"/>
            </a:ext>
          </a:extLst>
        </cdr:cNvPr>
        <cdr:cNvSpPr txBox="1"/>
      </cdr:nvSpPr>
      <cdr:spPr>
        <a:xfrm xmlns:a="http://schemas.openxmlformats.org/drawingml/2006/main">
          <a:off x="2059207" y="361115"/>
          <a:ext cx="324000" cy="193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Na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0.70031</cdr:x>
      <cdr:y>0.24398</cdr:y>
    </cdr:from>
    <cdr:to>
      <cdr:x>0.78347</cdr:x>
      <cdr:y>0.32983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06CB02B0-204A-4089-BDFE-43F17EB8AC04}"/>
            </a:ext>
          </a:extLst>
        </cdr:cNvPr>
        <cdr:cNvSpPr txBox="1"/>
      </cdr:nvSpPr>
      <cdr:spPr>
        <a:xfrm xmlns:a="http://schemas.openxmlformats.org/drawingml/2006/main">
          <a:off x="2275481" y="550906"/>
          <a:ext cx="270199" cy="1938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Ti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0.58668</cdr:x>
      <cdr:y>0.22637</cdr:y>
    </cdr:from>
    <cdr:to>
      <cdr:x>0.66423</cdr:x>
      <cdr:y>0.31149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A1C14F95-516F-4025-9D86-761E06B916B9}"/>
            </a:ext>
          </a:extLst>
        </cdr:cNvPr>
        <cdr:cNvSpPr txBox="1"/>
      </cdr:nvSpPr>
      <cdr:spPr>
        <a:xfrm xmlns:a="http://schemas.openxmlformats.org/drawingml/2006/main">
          <a:off x="1906242" y="511129"/>
          <a:ext cx="252000" cy="192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K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0.50991</cdr:x>
      <cdr:y>0.28397</cdr:y>
    </cdr:from>
    <cdr:to>
      <cdr:x>0.61351</cdr:x>
      <cdr:y>0.36982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2797B22-7C7E-4607-BEC7-85AFD9D143FC}"/>
            </a:ext>
          </a:extLst>
        </cdr:cNvPr>
        <cdr:cNvSpPr txBox="1"/>
      </cdr:nvSpPr>
      <cdr:spPr>
        <a:xfrm xmlns:a="http://schemas.openxmlformats.org/drawingml/2006/main">
          <a:off x="1656805" y="641200"/>
          <a:ext cx="336629" cy="1938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Mn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0.58541</cdr:x>
      <cdr:y>0.36911</cdr:y>
    </cdr:from>
    <cdr:to>
      <cdr:x>0.67405</cdr:x>
      <cdr:y>0.45449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C2D67D9-A240-41E1-8220-996755FE2813}"/>
            </a:ext>
          </a:extLst>
        </cdr:cNvPr>
        <cdr:cNvSpPr txBox="1"/>
      </cdr:nvSpPr>
      <cdr:spPr>
        <a:xfrm xmlns:a="http://schemas.openxmlformats.org/drawingml/2006/main">
          <a:off x="1902137" y="833447"/>
          <a:ext cx="288000" cy="192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P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0.48643</cdr:x>
      <cdr:y>0.34118</cdr:y>
    </cdr:from>
    <cdr:to>
      <cdr:x>0.58615</cdr:x>
      <cdr:y>0.4268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0D8FB1E6-310D-4F0F-ACE8-16B81A7AAEEC}"/>
            </a:ext>
          </a:extLst>
        </cdr:cNvPr>
        <cdr:cNvSpPr txBox="1"/>
      </cdr:nvSpPr>
      <cdr:spPr>
        <a:xfrm xmlns:a="http://schemas.openxmlformats.org/drawingml/2006/main">
          <a:off x="1580522" y="770385"/>
          <a:ext cx="324000" cy="193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Sr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0.5385</cdr:x>
      <cdr:y>0.41502</cdr:y>
    </cdr:from>
    <cdr:to>
      <cdr:x>0.62714</cdr:x>
      <cdr:y>0.50063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2715B935-38A0-4947-8E9C-A995B753D9EA}"/>
            </a:ext>
          </a:extLst>
        </cdr:cNvPr>
        <cdr:cNvSpPr txBox="1"/>
      </cdr:nvSpPr>
      <cdr:spPr>
        <a:xfrm xmlns:a="http://schemas.openxmlformats.org/drawingml/2006/main">
          <a:off x="1749708" y="937093"/>
          <a:ext cx="288000" cy="193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V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0.43187</cdr:x>
      <cdr:y>0.35936</cdr:y>
    </cdr:from>
    <cdr:to>
      <cdr:x>0.52558</cdr:x>
      <cdr:y>0.44494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CB2BFB0F-04E4-4897-8FFE-98FB0AE624B2}"/>
            </a:ext>
          </a:extLst>
        </cdr:cNvPr>
        <cdr:cNvSpPr txBox="1"/>
      </cdr:nvSpPr>
      <cdr:spPr>
        <a:xfrm xmlns:a="http://schemas.openxmlformats.org/drawingml/2006/main">
          <a:off x="1403257" y="811421"/>
          <a:ext cx="304464" cy="193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Cr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0.41386</cdr:x>
      <cdr:y>0.39731</cdr:y>
    </cdr:from>
    <cdr:to>
      <cdr:x>0.51358</cdr:x>
      <cdr:y>0.48216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9C20BFA9-C010-432F-A3D8-C65B6E4DE66F}"/>
            </a:ext>
          </a:extLst>
        </cdr:cNvPr>
        <cdr:cNvSpPr txBox="1"/>
      </cdr:nvSpPr>
      <cdr:spPr>
        <a:xfrm xmlns:a="http://schemas.openxmlformats.org/drawingml/2006/main">
          <a:off x="1344730" y="897126"/>
          <a:ext cx="324000" cy="191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Ba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0.48577</cdr:x>
      <cdr:y>0.46976</cdr:y>
    </cdr:from>
    <cdr:to>
      <cdr:x>0.57957</cdr:x>
      <cdr:y>0.55435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B5EC630-0E5A-4A3B-BD73-D2C34DC0980A}"/>
            </a:ext>
          </a:extLst>
        </cdr:cNvPr>
        <cdr:cNvSpPr txBox="1"/>
      </cdr:nvSpPr>
      <cdr:spPr>
        <a:xfrm xmlns:a="http://schemas.openxmlformats.org/drawingml/2006/main">
          <a:off x="1578378" y="1060706"/>
          <a:ext cx="304790" cy="191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Ni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0.45855</cdr:x>
      <cdr:y>0.50166</cdr:y>
    </cdr:from>
    <cdr:to>
      <cdr:x>0.55827</cdr:x>
      <cdr:y>0.58602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AE7BE770-4BFD-4A57-813E-AA4EEDDA58A5}"/>
            </a:ext>
          </a:extLst>
        </cdr:cNvPr>
        <cdr:cNvSpPr txBox="1"/>
      </cdr:nvSpPr>
      <cdr:spPr>
        <a:xfrm xmlns:a="http://schemas.openxmlformats.org/drawingml/2006/main">
          <a:off x="1489948" y="1132732"/>
          <a:ext cx="324000" cy="1904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Cu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0.38965</cdr:x>
      <cdr:y>0.43119</cdr:y>
    </cdr:from>
    <cdr:to>
      <cdr:x>0.48287</cdr:x>
      <cdr:y>0.5141</cdr:y>
    </cdr:to>
    <cdr:sp macro="" textlink="">
      <cdr:nvSpPr>
        <cdr:cNvPr id="2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85AA15A4-0522-47C0-A4B0-81C74584B1E8}"/>
            </a:ext>
          </a:extLst>
        </cdr:cNvPr>
        <cdr:cNvSpPr txBox="1"/>
      </cdr:nvSpPr>
      <cdr:spPr>
        <a:xfrm xmlns:a="http://schemas.openxmlformats.org/drawingml/2006/main">
          <a:off x="1266051" y="973626"/>
          <a:ext cx="302890" cy="187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Zn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0.42326</cdr:x>
      <cdr:y>0.54266</cdr:y>
    </cdr:from>
    <cdr:to>
      <cdr:x>0.51681</cdr:x>
      <cdr:y>0.62532</cdr:y>
    </cdr:to>
    <cdr:sp macro="" textlink="">
      <cdr:nvSpPr>
        <cdr:cNvPr id="23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47E8E838-0347-404D-B16F-11B8DF756E39}"/>
            </a:ext>
          </a:extLst>
        </cdr:cNvPr>
        <cdr:cNvSpPr txBox="1"/>
      </cdr:nvSpPr>
      <cdr:spPr>
        <a:xfrm xmlns:a="http://schemas.openxmlformats.org/drawingml/2006/main">
          <a:off x="1375255" y="1225301"/>
          <a:ext cx="303970" cy="1866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Sc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0.34908</cdr:x>
      <cdr:y>0.47291</cdr:y>
    </cdr:from>
    <cdr:to>
      <cdr:x>0.4488</cdr:x>
      <cdr:y>0.55605</cdr:y>
    </cdr:to>
    <cdr:sp macro="" textlink="">
      <cdr:nvSpPr>
        <cdr:cNvPr id="24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4749DC72-ECB1-4FCD-88E3-336EAFBCA417}"/>
            </a:ext>
          </a:extLst>
        </cdr:cNvPr>
        <cdr:cNvSpPr txBox="1"/>
      </cdr:nvSpPr>
      <cdr:spPr>
        <a:xfrm xmlns:a="http://schemas.openxmlformats.org/drawingml/2006/main">
          <a:off x="1134257" y="1067812"/>
          <a:ext cx="324000" cy="187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Co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0.16765</cdr:x>
      <cdr:y>0.67183</cdr:y>
    </cdr:from>
    <cdr:to>
      <cdr:x>0.26111</cdr:x>
      <cdr:y>0.75594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8513FB6A-353A-4FD8-9879-475D85A99646}"/>
            </a:ext>
          </a:extLst>
        </cdr:cNvPr>
        <cdr:cNvSpPr txBox="1"/>
      </cdr:nvSpPr>
      <cdr:spPr>
        <a:xfrm xmlns:a="http://schemas.openxmlformats.org/drawingml/2006/main">
          <a:off x="544729" y="1516976"/>
          <a:ext cx="303677" cy="189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Th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0.3181</cdr:x>
      <cdr:y>0.51936</cdr:y>
    </cdr:from>
    <cdr:to>
      <cdr:x>0.39065</cdr:x>
      <cdr:y>0.6025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A79DEFA-065B-4AC1-876C-ABC5A282FBD4}"/>
            </a:ext>
          </a:extLst>
        </cdr:cNvPr>
        <cdr:cNvSpPr txBox="1"/>
      </cdr:nvSpPr>
      <cdr:spPr>
        <a:xfrm xmlns:a="http://schemas.openxmlformats.org/drawingml/2006/main">
          <a:off x="1033565" y="1172711"/>
          <a:ext cx="235746" cy="187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Y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0.38245</cdr:x>
      <cdr:y>0.57876</cdr:y>
    </cdr:from>
    <cdr:to>
      <cdr:x>0.48217</cdr:x>
      <cdr:y>0.66141</cdr:y>
    </cdr:to>
    <cdr:sp macro="" textlink="">
      <cdr:nvSpPr>
        <cdr:cNvPr id="27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6937B684-32CA-4B6D-B793-84D953EBFAFF}"/>
            </a:ext>
          </a:extLst>
        </cdr:cNvPr>
        <cdr:cNvSpPr txBox="1"/>
      </cdr:nvSpPr>
      <cdr:spPr>
        <a:xfrm xmlns:a="http://schemas.openxmlformats.org/drawingml/2006/main">
          <a:off x="1242669" y="1306821"/>
          <a:ext cx="324000" cy="186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Nd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0.32444</cdr:x>
      <cdr:y>0.65178</cdr:y>
    </cdr:from>
    <cdr:to>
      <cdr:x>0.42415</cdr:x>
      <cdr:y>0.73515</cdr:y>
    </cdr:to>
    <cdr:sp macro="" textlink="">
      <cdr:nvSpPr>
        <cdr:cNvPr id="28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1A2BB17-4140-4CB0-8CB0-B991A0BAD0C4}"/>
            </a:ext>
          </a:extLst>
        </cdr:cNvPr>
        <cdr:cNvSpPr txBox="1"/>
      </cdr:nvSpPr>
      <cdr:spPr>
        <a:xfrm xmlns:a="http://schemas.openxmlformats.org/drawingml/2006/main">
          <a:off x="1054165" y="1471702"/>
          <a:ext cx="324000" cy="188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Rb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0.35174</cdr:x>
      <cdr:y>0.6178</cdr:y>
    </cdr:from>
    <cdr:to>
      <cdr:x>0.45145</cdr:x>
      <cdr:y>0.70021</cdr:y>
    </cdr:to>
    <cdr:sp macro="" textlink="">
      <cdr:nvSpPr>
        <cdr:cNvPr id="29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4E96575B-866F-4E9C-8330-A975B0840E4D}"/>
            </a:ext>
          </a:extLst>
        </cdr:cNvPr>
        <cdr:cNvSpPr txBox="1"/>
      </cdr:nvSpPr>
      <cdr:spPr>
        <a:xfrm xmlns:a="http://schemas.openxmlformats.org/drawingml/2006/main">
          <a:off x="1142879" y="1394968"/>
          <a:ext cx="324000" cy="186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Nb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0.27638</cdr:x>
      <cdr:y>0.54614</cdr:y>
    </cdr:from>
    <cdr:to>
      <cdr:x>0.3761</cdr:x>
      <cdr:y>0.62925</cdr:y>
    </cdr:to>
    <cdr:sp macro="" textlink="">
      <cdr:nvSpPr>
        <cdr:cNvPr id="30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832BC5A-73F1-4E9E-AD43-BDB93170EC44}"/>
            </a:ext>
          </a:extLst>
        </cdr:cNvPr>
        <cdr:cNvSpPr txBox="1"/>
      </cdr:nvSpPr>
      <cdr:spPr>
        <a:xfrm xmlns:a="http://schemas.openxmlformats.org/drawingml/2006/main">
          <a:off x="898027" y="1233169"/>
          <a:ext cx="324000" cy="187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Ga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0.25981</cdr:x>
      <cdr:y>0.57749</cdr:y>
    </cdr:from>
    <cdr:to>
      <cdr:x>0.35327</cdr:x>
      <cdr:y>0.66224</cdr:y>
    </cdr:to>
    <cdr:sp macro="" textlink="">
      <cdr:nvSpPr>
        <cdr:cNvPr id="31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BE0A0E5E-821C-44B2-B954-C703D03DE1E8}"/>
            </a:ext>
          </a:extLst>
        </cdr:cNvPr>
        <cdr:cNvSpPr txBox="1"/>
      </cdr:nvSpPr>
      <cdr:spPr>
        <a:xfrm xmlns:a="http://schemas.openxmlformats.org/drawingml/2006/main">
          <a:off x="844182" y="1303963"/>
          <a:ext cx="303677" cy="191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La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0.22016</cdr:x>
      <cdr:y>0.60868</cdr:y>
    </cdr:from>
    <cdr:to>
      <cdr:x>0.324</cdr:x>
      <cdr:y>0.69367</cdr:y>
    </cdr:to>
    <cdr:sp macro="" textlink="">
      <cdr:nvSpPr>
        <cdr:cNvPr id="33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708D9E34-075F-4A1A-A4B8-D96F9CB5F2D8}"/>
            </a:ext>
          </a:extLst>
        </cdr:cNvPr>
        <cdr:cNvSpPr txBox="1"/>
      </cdr:nvSpPr>
      <cdr:spPr>
        <a:xfrm xmlns:a="http://schemas.openxmlformats.org/drawingml/2006/main">
          <a:off x="715338" y="1374391"/>
          <a:ext cx="337416" cy="19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Sm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0.2259</cdr:x>
      <cdr:y>0.74092</cdr:y>
    </cdr:from>
    <cdr:to>
      <cdr:x>0.31945</cdr:x>
      <cdr:y>0.82495</cdr:y>
    </cdr:to>
    <cdr:sp macro="" textlink="">
      <cdr:nvSpPr>
        <cdr:cNvPr id="35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A287AAD-EBAC-4F9A-99B8-8A4EDE11522E}"/>
            </a:ext>
          </a:extLst>
        </cdr:cNvPr>
        <cdr:cNvSpPr txBox="1"/>
      </cdr:nvSpPr>
      <cdr:spPr>
        <a:xfrm xmlns:a="http://schemas.openxmlformats.org/drawingml/2006/main">
          <a:off x="734008" y="1672978"/>
          <a:ext cx="303969" cy="189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Ta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0.28872</cdr:x>
      <cdr:y>0.6801</cdr:y>
    </cdr:from>
    <cdr:to>
      <cdr:x>0.38203</cdr:x>
      <cdr:y>0.7639</cdr:y>
    </cdr:to>
    <cdr:sp macro="" textlink="">
      <cdr:nvSpPr>
        <cdr:cNvPr id="37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F1E372AB-134D-42F0-85BE-545A0C82E522}"/>
            </a:ext>
          </a:extLst>
        </cdr:cNvPr>
        <cdr:cNvSpPr txBox="1"/>
      </cdr:nvSpPr>
      <cdr:spPr>
        <a:xfrm xmlns:a="http://schemas.openxmlformats.org/drawingml/2006/main">
          <a:off x="938123" y="1535656"/>
          <a:ext cx="303183" cy="189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Hf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0.13858</cdr:x>
      <cdr:y>0.70547</cdr:y>
    </cdr:from>
    <cdr:to>
      <cdr:x>0.24568</cdr:x>
      <cdr:y>0.78927</cdr:y>
    </cdr:to>
    <cdr:sp macro="" textlink="">
      <cdr:nvSpPr>
        <cdr:cNvPr id="38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9A9425B-F702-4CC9-8042-EFEC5109AA5B}"/>
            </a:ext>
          </a:extLst>
        </cdr:cNvPr>
        <cdr:cNvSpPr txBox="1"/>
      </cdr:nvSpPr>
      <cdr:spPr>
        <a:xfrm xmlns:a="http://schemas.openxmlformats.org/drawingml/2006/main">
          <a:off x="450267" y="1592941"/>
          <a:ext cx="347989" cy="189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Tm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0.25939</cdr:x>
      <cdr:y>0.71191</cdr:y>
    </cdr:from>
    <cdr:to>
      <cdr:x>0.35911</cdr:x>
      <cdr:y>0.79642</cdr:y>
    </cdr:to>
    <cdr:sp macro="" textlink="">
      <cdr:nvSpPr>
        <cdr:cNvPr id="39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71F9ACC5-9FAD-40AC-9169-CBEDB09E2684}"/>
            </a:ext>
          </a:extLst>
        </cdr:cNvPr>
        <cdr:cNvSpPr txBox="1"/>
      </cdr:nvSpPr>
      <cdr:spPr>
        <a:xfrm xmlns:a="http://schemas.openxmlformats.org/drawingml/2006/main">
          <a:off x="842821" y="1607481"/>
          <a:ext cx="324000" cy="190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Eu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0.1964</cdr:x>
      <cdr:y>0.64219</cdr:y>
    </cdr:from>
    <cdr:to>
      <cdr:x>0.29611</cdr:x>
      <cdr:y>0.72741</cdr:y>
    </cdr:to>
    <cdr:sp macro="" textlink="">
      <cdr:nvSpPr>
        <cdr:cNvPr id="40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9BAE2572-4399-4CF1-8DA1-53DD841F5BA8}"/>
            </a:ext>
          </a:extLst>
        </cdr:cNvPr>
        <cdr:cNvSpPr txBox="1"/>
      </cdr:nvSpPr>
      <cdr:spPr>
        <a:xfrm xmlns:a="http://schemas.openxmlformats.org/drawingml/2006/main">
          <a:off x="638145" y="1450043"/>
          <a:ext cx="324000" cy="192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Yb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0.20232</cdr:x>
      <cdr:y>0.7742</cdr:y>
    </cdr:from>
    <cdr:to>
      <cdr:x>0.29587</cdr:x>
      <cdr:y>0.85321</cdr:y>
    </cdr:to>
    <cdr:sp macro="" textlink="">
      <cdr:nvSpPr>
        <cdr:cNvPr id="41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9669E426-E32C-4726-96B2-CC8486C21243}"/>
            </a:ext>
          </a:extLst>
        </cdr:cNvPr>
        <cdr:cNvSpPr txBox="1"/>
      </cdr:nvSpPr>
      <cdr:spPr>
        <a:xfrm xmlns:a="http://schemas.openxmlformats.org/drawingml/2006/main">
          <a:off x="657378" y="1748117"/>
          <a:ext cx="303970" cy="178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Lu  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0.51585</cdr:x>
      <cdr:y>0.45328</cdr:y>
    </cdr:from>
    <cdr:to>
      <cdr:x>0.60915</cdr:x>
      <cdr:y>0.53911</cdr:y>
    </cdr:to>
    <cdr:sp macro="" textlink="">
      <cdr:nvSpPr>
        <cdr:cNvPr id="4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E902F6C9-F91C-407D-AC66-AA574DA6EE82}"/>
            </a:ext>
          </a:extLst>
        </cdr:cNvPr>
        <cdr:cNvSpPr txBox="1"/>
      </cdr:nvSpPr>
      <cdr:spPr>
        <a:xfrm xmlns:a="http://schemas.openxmlformats.org/drawingml/2006/main">
          <a:off x="1676099" y="1023505"/>
          <a:ext cx="303183" cy="193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800">
              <a:latin typeface="Arial" panose="020B0604020202020204" pitchFamily="34" charset="0"/>
              <a:cs typeface="Arial" panose="020B0604020202020204" pitchFamily="34" charset="0"/>
            </a:rPr>
            <a:t>Zr</a:t>
          </a:r>
          <a:endParaRPr lang="zh-CN" alt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tabSelected="1" topLeftCell="E1" zoomScale="115" zoomScaleNormal="115" zoomScalePageLayoutView="115" workbookViewId="0">
      <selection activeCell="E3" sqref="E3"/>
    </sheetView>
  </sheetViews>
  <sheetFormatPr baseColWidth="10" defaultColWidth="8.83203125" defaultRowHeight="14" x14ac:dyDescent="0"/>
  <sheetData>
    <row r="1" spans="1:37" ht="16">
      <c r="E1" s="66" t="s">
        <v>288</v>
      </c>
    </row>
    <row r="2" spans="1:37">
      <c r="E2" s="67" t="s">
        <v>289</v>
      </c>
    </row>
    <row r="3" spans="1:37" ht="15">
      <c r="E3" s="68" t="s">
        <v>290</v>
      </c>
    </row>
    <row r="4" spans="1:37">
      <c r="A4" s="1" t="s">
        <v>134</v>
      </c>
      <c r="B4" s="1" t="s">
        <v>50</v>
      </c>
      <c r="C4" s="2" t="s">
        <v>51</v>
      </c>
      <c r="D4" s="2" t="s">
        <v>52</v>
      </c>
      <c r="E4" s="2" t="s">
        <v>53</v>
      </c>
      <c r="F4" s="2" t="s">
        <v>54</v>
      </c>
      <c r="G4" s="2" t="s">
        <v>55</v>
      </c>
      <c r="H4" s="2" t="s">
        <v>56</v>
      </c>
      <c r="I4" s="2" t="s">
        <v>57</v>
      </c>
      <c r="J4" s="2" t="s">
        <v>58</v>
      </c>
      <c r="K4" s="2" t="s">
        <v>59</v>
      </c>
      <c r="L4" s="2" t="s">
        <v>60</v>
      </c>
      <c r="M4" s="2" t="s">
        <v>61</v>
      </c>
      <c r="N4" s="2" t="s">
        <v>62</v>
      </c>
      <c r="O4" s="2" t="s">
        <v>63</v>
      </c>
      <c r="P4" s="2" t="s">
        <v>64</v>
      </c>
      <c r="Q4" s="2" t="s">
        <v>65</v>
      </c>
      <c r="R4" s="2" t="s">
        <v>66</v>
      </c>
      <c r="S4" s="2" t="s">
        <v>67</v>
      </c>
      <c r="T4" s="2" t="s">
        <v>68</v>
      </c>
      <c r="U4" s="2"/>
      <c r="V4" s="2"/>
      <c r="W4" s="22" t="s">
        <v>136</v>
      </c>
      <c r="X4" s="22"/>
      <c r="Y4" s="2"/>
      <c r="Z4" s="26" t="s">
        <v>148</v>
      </c>
      <c r="AA4" s="26"/>
      <c r="AB4" s="26"/>
      <c r="AC4" s="26"/>
      <c r="AD4" s="26"/>
      <c r="AE4" s="26"/>
      <c r="AF4" s="26"/>
      <c r="AG4" s="2"/>
      <c r="AH4" s="2"/>
      <c r="AI4" s="8"/>
      <c r="AJ4" s="8"/>
      <c r="AK4" s="8"/>
    </row>
    <row r="5" spans="1:37">
      <c r="A5" s="1" t="s">
        <v>135</v>
      </c>
      <c r="B5" s="1" t="s">
        <v>50</v>
      </c>
      <c r="C5" s="2" t="s">
        <v>87</v>
      </c>
      <c r="D5" s="2" t="s">
        <v>87</v>
      </c>
      <c r="E5" s="2" t="s">
        <v>87</v>
      </c>
      <c r="F5" s="2" t="s">
        <v>87</v>
      </c>
      <c r="G5" s="2" t="s">
        <v>87</v>
      </c>
      <c r="H5" s="2" t="s">
        <v>87</v>
      </c>
      <c r="I5" s="2" t="s">
        <v>87</v>
      </c>
      <c r="J5" s="2" t="s">
        <v>87</v>
      </c>
      <c r="K5" s="2" t="s">
        <v>87</v>
      </c>
      <c r="L5" s="2" t="s">
        <v>87</v>
      </c>
      <c r="M5" s="2" t="s">
        <v>87</v>
      </c>
      <c r="N5" s="2" t="s">
        <v>87</v>
      </c>
      <c r="O5" s="2" t="s">
        <v>87</v>
      </c>
      <c r="P5" s="2" t="s">
        <v>87</v>
      </c>
      <c r="Q5" s="2" t="s">
        <v>87</v>
      </c>
      <c r="R5" s="2" t="s">
        <v>87</v>
      </c>
      <c r="S5" s="2" t="s">
        <v>87</v>
      </c>
      <c r="T5" s="2" t="s">
        <v>87</v>
      </c>
      <c r="U5" s="21" t="s">
        <v>91</v>
      </c>
      <c r="V5" s="21" t="s">
        <v>89</v>
      </c>
      <c r="W5" s="23" t="s">
        <v>91</v>
      </c>
      <c r="X5" s="23" t="s">
        <v>90</v>
      </c>
      <c r="Y5" s="1"/>
      <c r="Z5" s="27"/>
      <c r="AA5" s="27" t="s">
        <v>139</v>
      </c>
      <c r="AB5" s="27" t="s">
        <v>137</v>
      </c>
      <c r="AC5" s="27" t="s">
        <v>138</v>
      </c>
      <c r="AD5" s="27" t="s">
        <v>139</v>
      </c>
      <c r="AE5" s="27" t="s">
        <v>137</v>
      </c>
      <c r="AF5" s="27" t="s">
        <v>138</v>
      </c>
      <c r="AG5" s="27" t="s">
        <v>146</v>
      </c>
      <c r="AH5" s="27" t="s">
        <v>147</v>
      </c>
      <c r="AI5" s="8"/>
      <c r="AJ5" s="37" t="s">
        <v>140</v>
      </c>
      <c r="AK5" s="8"/>
    </row>
    <row r="6" spans="1:37">
      <c r="A6" s="1" t="s">
        <v>3</v>
      </c>
      <c r="B6" s="1" t="s">
        <v>92</v>
      </c>
      <c r="C6" s="3">
        <v>50.506817179173872</v>
      </c>
      <c r="D6" s="3">
        <v>50.586936027641698</v>
      </c>
      <c r="E6" s="3">
        <v>50.327802111712217</v>
      </c>
      <c r="F6" s="3">
        <v>48.838864284434557</v>
      </c>
      <c r="G6" s="3">
        <v>50.04334842029629</v>
      </c>
      <c r="H6" s="3">
        <v>51.828805370877539</v>
      </c>
      <c r="I6" s="3">
        <v>50.460775280909274</v>
      </c>
      <c r="J6" s="3">
        <v>50.29629283762101</v>
      </c>
      <c r="K6" s="3">
        <v>50.293408241803405</v>
      </c>
      <c r="L6" s="3">
        <v>50.19080045620391</v>
      </c>
      <c r="M6" s="3">
        <v>50.159726065533022</v>
      </c>
      <c r="N6" s="3">
        <v>48.538780352364526</v>
      </c>
      <c r="O6" s="3">
        <v>50.297457658282141</v>
      </c>
      <c r="P6" s="3">
        <v>49.313149538501868</v>
      </c>
      <c r="Q6" s="3">
        <v>50.302955074207148</v>
      </c>
      <c r="R6" s="3">
        <v>48.776552520762579</v>
      </c>
      <c r="S6" s="3">
        <v>50.802383128154162</v>
      </c>
      <c r="T6" s="3">
        <v>50.72512461191841</v>
      </c>
      <c r="U6" s="39">
        <f t="shared" ref="U6:U15" si="0">AVERAGE(C6:T6)</f>
        <v>50.127221064466532</v>
      </c>
      <c r="V6" s="40">
        <f t="shared" ref="V6:V15" si="1">STDEV(C6:T6)</f>
        <v>0.80490660092070676</v>
      </c>
      <c r="W6" s="25">
        <f>U6*28.1/(28.1+15.99*2)*10000</f>
        <v>234449.88547128989</v>
      </c>
      <c r="X6" s="25">
        <f>V6*28.1/(28.1+15.99*2)*10000</f>
        <v>3764.6264124287381</v>
      </c>
      <c r="Y6" s="4"/>
      <c r="Z6" s="6" t="s">
        <v>3</v>
      </c>
      <c r="AA6" s="28">
        <f>(50.1+50.3)/2</f>
        <v>50.2</v>
      </c>
      <c r="AB6" s="6">
        <v>49</v>
      </c>
      <c r="AC6" s="6">
        <v>51.3</v>
      </c>
      <c r="AD6" s="29">
        <f>AA6*28.1/(28.1+15.99*2)*10000</f>
        <v>234790.27962716381</v>
      </c>
      <c r="AE6" s="29">
        <f>AB6*28.1/(28.1+15.99*2)*10000</f>
        <v>229177.76298268975</v>
      </c>
      <c r="AF6" s="29">
        <f>AC6*28.1/(28.1+15.99*2)*10000</f>
        <v>239935.08655126498</v>
      </c>
      <c r="AG6" s="29">
        <f t="shared" ref="AG6:AG39" si="2">AD6-AE6</f>
        <v>5612.5166444740607</v>
      </c>
      <c r="AH6" s="29">
        <f t="shared" ref="AH6:AH39" si="3">AF6-AD6</f>
        <v>5144.806924101169</v>
      </c>
      <c r="AI6" s="8"/>
      <c r="AJ6" s="38">
        <f t="shared" ref="AJ6:AJ39" si="4">(W6-AD6)/AD6*100</f>
        <v>-0.14497795923001897</v>
      </c>
      <c r="AK6" s="3"/>
    </row>
    <row r="7" spans="1:37">
      <c r="A7" s="1" t="s">
        <v>7</v>
      </c>
      <c r="B7" s="1" t="s">
        <v>92</v>
      </c>
      <c r="C7" s="10">
        <v>2.5944860590071461</v>
      </c>
      <c r="D7" s="10">
        <v>2.5333443631748316</v>
      </c>
      <c r="E7" s="10">
        <v>2.6009545165005239</v>
      </c>
      <c r="F7" s="10">
        <v>2.6061905472799154</v>
      </c>
      <c r="G7" s="10">
        <v>2.610258497331214</v>
      </c>
      <c r="H7" s="10">
        <v>2.5871219671386676</v>
      </c>
      <c r="I7" s="10">
        <v>2.6476997074822499</v>
      </c>
      <c r="J7" s="10">
        <v>2.6504516853280227</v>
      </c>
      <c r="K7" s="10">
        <v>2.6336993169606502</v>
      </c>
      <c r="L7" s="10">
        <v>2.6375972091395643</v>
      </c>
      <c r="M7" s="10">
        <v>2.6757602549475918</v>
      </c>
      <c r="N7" s="10">
        <v>2.7282020368410915</v>
      </c>
      <c r="O7" s="10">
        <v>2.5763301008807828</v>
      </c>
      <c r="P7" s="10">
        <v>2.6994886412618677</v>
      </c>
      <c r="Q7" s="10">
        <v>2.6482395652014921</v>
      </c>
      <c r="R7" s="10">
        <v>2.7175822372968717</v>
      </c>
      <c r="S7" s="10">
        <v>2.5911953176863824</v>
      </c>
      <c r="T7" s="10">
        <v>2.6160052170584787</v>
      </c>
      <c r="U7" s="40">
        <f t="shared" si="0"/>
        <v>2.6308115133620746</v>
      </c>
      <c r="V7" s="40">
        <f t="shared" si="1"/>
        <v>5.0981653107580224E-2</v>
      </c>
      <c r="W7" s="25">
        <f>U7*47.9/(47.9+15.99*2)*10000</f>
        <v>15775.64740736647</v>
      </c>
      <c r="X7" s="25">
        <f>V7*47.9/(47.9+15.99*2)*10000</f>
        <v>305.71121480384238</v>
      </c>
      <c r="Y7" s="4"/>
      <c r="Z7" s="26" t="s">
        <v>141</v>
      </c>
      <c r="AA7" s="28">
        <f>(2.56+2.6)/2</f>
        <v>2.58</v>
      </c>
      <c r="AB7" s="7">
        <v>1.87</v>
      </c>
      <c r="AC7" s="7">
        <v>3.33</v>
      </c>
      <c r="AD7" s="29">
        <f>AA7*47.9/(47.9+15.99*2)*10000</f>
        <v>15470.956434651978</v>
      </c>
      <c r="AE7" s="29">
        <f>AB7*47.9/(47.9+15.99*2)*10000</f>
        <v>11213.44516775163</v>
      </c>
      <c r="AF7" s="29">
        <f>AC7*47.9/(47.9+15.99*2)*10000</f>
        <v>19968.327491236858</v>
      </c>
      <c r="AG7" s="29">
        <f t="shared" si="2"/>
        <v>4257.5112669003483</v>
      </c>
      <c r="AH7" s="29">
        <f t="shared" si="3"/>
        <v>4497.3710565848796</v>
      </c>
      <c r="AI7" s="8"/>
      <c r="AJ7" s="38">
        <f t="shared" si="4"/>
        <v>1.9694385024059835</v>
      </c>
      <c r="AK7" s="3"/>
    </row>
    <row r="8" spans="1:37">
      <c r="A8" s="1" t="s">
        <v>2</v>
      </c>
      <c r="B8" s="1" t="s">
        <v>92</v>
      </c>
      <c r="C8" s="3">
        <v>13.473468838748204</v>
      </c>
      <c r="D8" s="3">
        <v>13.404649970983508</v>
      </c>
      <c r="E8" s="3">
        <v>13.643302129250833</v>
      </c>
      <c r="F8" s="3">
        <v>13.719009595099124</v>
      </c>
      <c r="G8" s="3">
        <v>13.556647566320796</v>
      </c>
      <c r="H8" s="3">
        <v>13.315688105516799</v>
      </c>
      <c r="I8" s="3">
        <v>13.53016703358279</v>
      </c>
      <c r="J8" s="3">
        <v>13.490171128710715</v>
      </c>
      <c r="K8" s="3">
        <v>13.589927931249358</v>
      </c>
      <c r="L8" s="3">
        <v>13.534174955858798</v>
      </c>
      <c r="M8" s="3">
        <v>13.401319426690412</v>
      </c>
      <c r="N8" s="3">
        <v>13.754138424224033</v>
      </c>
      <c r="O8" s="3">
        <v>13.744369709691732</v>
      </c>
      <c r="P8" s="3">
        <v>13.575582952740634</v>
      </c>
      <c r="Q8" s="3">
        <v>13.466166272705166</v>
      </c>
      <c r="R8" s="3">
        <v>13.845328764968572</v>
      </c>
      <c r="S8" s="3">
        <v>13.54545772442682</v>
      </c>
      <c r="T8" s="3">
        <v>13.421279426984265</v>
      </c>
      <c r="U8" s="39">
        <f t="shared" si="0"/>
        <v>13.556158330986253</v>
      </c>
      <c r="V8" s="40">
        <f t="shared" si="1"/>
        <v>0.14087615913798021</v>
      </c>
      <c r="W8" s="25">
        <f>U8*54/(54+15.99*3)*10000</f>
        <v>71789.011461533562</v>
      </c>
      <c r="X8" s="25">
        <f>V8*54/(54+15.99*3)*10000</f>
        <v>746.03438201931272</v>
      </c>
      <c r="Y8" s="4"/>
      <c r="Z8" s="26" t="s">
        <v>142</v>
      </c>
      <c r="AA8" s="28">
        <f>(13.1+13.3)/2</f>
        <v>13.2</v>
      </c>
      <c r="AB8" s="6">
        <v>11.8</v>
      </c>
      <c r="AC8" s="6">
        <v>13.8</v>
      </c>
      <c r="AD8" s="29">
        <f>AA8*54/(54+15.99*3)*10000</f>
        <v>69902.912621359224</v>
      </c>
      <c r="AE8" s="29">
        <f>AB8*54/(54+15.99*3)*10000</f>
        <v>62488.967343336277</v>
      </c>
      <c r="AF8" s="29">
        <f>AC8*54/(54+15.99*3)*10000</f>
        <v>73080.31774051192</v>
      </c>
      <c r="AG8" s="29">
        <f t="shared" si="2"/>
        <v>7413.9452780229476</v>
      </c>
      <c r="AH8" s="29">
        <f t="shared" si="3"/>
        <v>3177.405119152696</v>
      </c>
      <c r="AI8" s="8"/>
      <c r="AJ8" s="38">
        <f t="shared" si="4"/>
        <v>2.6981691741382892</v>
      </c>
      <c r="AK8" s="3"/>
    </row>
    <row r="9" spans="1:37">
      <c r="A9" s="1" t="s">
        <v>9</v>
      </c>
      <c r="B9" s="1" t="s">
        <v>92</v>
      </c>
      <c r="C9" s="3">
        <v>11.269956985163301</v>
      </c>
      <c r="D9" s="3">
        <v>11.608696055388066</v>
      </c>
      <c r="E9" s="3">
        <v>11.160669706911225</v>
      </c>
      <c r="F9" s="3">
        <v>12.563136182784676</v>
      </c>
      <c r="G9" s="3">
        <v>11.512744021809555</v>
      </c>
      <c r="H9" s="3">
        <v>10.52948441811642</v>
      </c>
      <c r="I9" s="3">
        <v>10.995457962381963</v>
      </c>
      <c r="J9" s="3">
        <v>10.791542264632325</v>
      </c>
      <c r="K9" s="3">
        <v>11.259160759791342</v>
      </c>
      <c r="L9" s="3">
        <v>11.438814946448435</v>
      </c>
      <c r="M9" s="3">
        <v>11.51957402577856</v>
      </c>
      <c r="N9" s="3">
        <v>12.442175560438542</v>
      </c>
      <c r="O9" s="3">
        <v>11.183942330251304</v>
      </c>
      <c r="P9" s="3">
        <v>12.005885232644456</v>
      </c>
      <c r="Q9" s="3">
        <v>11.437175078205463</v>
      </c>
      <c r="R9" s="3">
        <v>11.90397154163848</v>
      </c>
      <c r="S9" s="3">
        <v>11.128399374610078</v>
      </c>
      <c r="T9" s="3">
        <v>10.964346345268503</v>
      </c>
      <c r="U9" s="39">
        <f t="shared" si="0"/>
        <v>11.428618488459037</v>
      </c>
      <c r="V9" s="40">
        <f t="shared" si="1"/>
        <v>0.53218471044998283</v>
      </c>
      <c r="W9" s="25">
        <f>U9*55.8/(55.8+15.99)*10000</f>
        <v>88830.88336203013</v>
      </c>
      <c r="X9" s="25">
        <f>V9*55.8/(55.8+15.99)*10000</f>
        <v>4136.4962868239372</v>
      </c>
      <c r="Y9" s="4"/>
      <c r="Z9" s="26" t="s">
        <v>93</v>
      </c>
      <c r="AA9" s="28">
        <v>10.7</v>
      </c>
      <c r="AB9" s="6">
        <v>10.27</v>
      </c>
      <c r="AC9" s="6">
        <v>11.36</v>
      </c>
      <c r="AD9" s="29">
        <f>AA9*55.8/(55.8+15.99)*10000</f>
        <v>83167.572085248641</v>
      </c>
      <c r="AE9" s="29">
        <f>AB9*55.8/(55.8+15.99)*10000</f>
        <v>79825.323861262019</v>
      </c>
      <c r="AF9" s="29">
        <f>AC9*55.8/(55.8+15.99)*10000</f>
        <v>88297.534475553693</v>
      </c>
      <c r="AG9" s="29">
        <f t="shared" si="2"/>
        <v>3342.2482239866222</v>
      </c>
      <c r="AH9" s="29">
        <f t="shared" si="3"/>
        <v>5129.9623903050524</v>
      </c>
      <c r="AI9" s="8"/>
      <c r="AJ9" s="38">
        <f t="shared" si="4"/>
        <v>6.8095185837293251</v>
      </c>
      <c r="AK9" s="3"/>
    </row>
    <row r="10" spans="1:37">
      <c r="A10" s="1" t="s">
        <v>8</v>
      </c>
      <c r="B10" s="1" t="s">
        <v>92</v>
      </c>
      <c r="C10" s="10">
        <v>0.16782358566778557</v>
      </c>
      <c r="D10" s="10">
        <v>0.16692059369255585</v>
      </c>
      <c r="E10" s="10">
        <v>0.17046243962016638</v>
      </c>
      <c r="F10" s="10">
        <v>0.16862730041609483</v>
      </c>
      <c r="G10" s="10">
        <v>0.16965557665456238</v>
      </c>
      <c r="H10" s="10">
        <v>0.16495919192623623</v>
      </c>
      <c r="I10" s="10">
        <v>0.17193717767623434</v>
      </c>
      <c r="J10" s="10">
        <v>0.16977000631335459</v>
      </c>
      <c r="K10" s="10">
        <v>0.17023274101279706</v>
      </c>
      <c r="L10" s="10">
        <v>0.17048218102251703</v>
      </c>
      <c r="M10" s="10">
        <v>0.17150343219735928</v>
      </c>
      <c r="N10" s="10">
        <v>0.17736909135940326</v>
      </c>
      <c r="O10" s="10">
        <v>0.16952891347076696</v>
      </c>
      <c r="P10" s="10">
        <v>0.17539637814842593</v>
      </c>
      <c r="Q10" s="10">
        <v>0.17136952368149541</v>
      </c>
      <c r="R10" s="10">
        <v>0.17892168469336633</v>
      </c>
      <c r="S10" s="10">
        <v>0.17336154643726615</v>
      </c>
      <c r="T10" s="10">
        <v>0.17331280642525249</v>
      </c>
      <c r="U10" s="40">
        <f t="shared" si="0"/>
        <v>0.17120189835642444</v>
      </c>
      <c r="V10" s="40">
        <f t="shared" si="1"/>
        <v>3.5112388235655351E-3</v>
      </c>
      <c r="W10" s="25">
        <f>U10*54.9/(54.9+15.99)*10000</f>
        <v>1325.8547354729442</v>
      </c>
      <c r="X10" s="17">
        <f>V10*54.9/(54.9+15.99)*10000</f>
        <v>27.192412387325131</v>
      </c>
      <c r="Y10" s="4"/>
      <c r="Z10" s="26" t="s">
        <v>8</v>
      </c>
      <c r="AA10" s="30">
        <f>(0.165+0.166)/2</f>
        <v>0.16550000000000001</v>
      </c>
      <c r="AB10" s="7">
        <v>0.124</v>
      </c>
      <c r="AC10" s="7">
        <v>0.23</v>
      </c>
      <c r="AD10" s="29">
        <f>AA10*54.9/(54.9+15.99)*10000</f>
        <v>1281.6969953449006</v>
      </c>
      <c r="AE10" s="29">
        <f>AB10*54.9/(54.9+15.99)*10000</f>
        <v>960.30469741853574</v>
      </c>
      <c r="AF10" s="29">
        <f>AC10*54.9/(54.9+15.99)*10000</f>
        <v>1781.2103258569616</v>
      </c>
      <c r="AG10" s="29">
        <f t="shared" si="2"/>
        <v>321.3922979263649</v>
      </c>
      <c r="AH10" s="29">
        <f t="shared" si="3"/>
        <v>499.51333051206097</v>
      </c>
      <c r="AI10" s="8"/>
      <c r="AJ10" s="38">
        <f t="shared" si="4"/>
        <v>3.4452558044860542</v>
      </c>
      <c r="AK10" s="3"/>
    </row>
    <row r="11" spans="1:37">
      <c r="A11" s="1" t="s">
        <v>1</v>
      </c>
      <c r="B11" s="1" t="s">
        <v>92</v>
      </c>
      <c r="C11" s="10">
        <v>7.3986900504793676</v>
      </c>
      <c r="D11" s="10">
        <v>7.2179068810981803</v>
      </c>
      <c r="E11" s="10">
        <v>7.2548134194447647</v>
      </c>
      <c r="F11" s="10">
        <v>7.2065145382433258</v>
      </c>
      <c r="G11" s="10">
        <v>7.4604955060039053</v>
      </c>
      <c r="H11" s="10">
        <v>7.1370259721322498</v>
      </c>
      <c r="I11" s="10">
        <v>7.4960428829056962</v>
      </c>
      <c r="J11" s="10">
        <v>7.5655165092236762</v>
      </c>
      <c r="K11" s="10">
        <v>7.4365471743507374</v>
      </c>
      <c r="L11" s="10">
        <v>7.4578547888042532</v>
      </c>
      <c r="M11" s="10">
        <v>7.4361894702643205</v>
      </c>
      <c r="N11" s="10">
        <v>7.6363259331617668</v>
      </c>
      <c r="O11" s="10">
        <v>7.3409653701227597</v>
      </c>
      <c r="P11" s="10">
        <v>7.6496583981944068</v>
      </c>
      <c r="Q11" s="10">
        <v>7.3356280605181556</v>
      </c>
      <c r="R11" s="10">
        <v>7.7264165474845203</v>
      </c>
      <c r="S11" s="10">
        <v>7.1246096319665648</v>
      </c>
      <c r="T11" s="10">
        <v>7.3444380947377859</v>
      </c>
      <c r="U11" s="39">
        <f t="shared" si="0"/>
        <v>7.4014244016186916</v>
      </c>
      <c r="V11" s="40">
        <f t="shared" si="1"/>
        <v>0.17461710240505246</v>
      </c>
      <c r="W11" s="25">
        <f>U11*24.3/(24.3+15.99)*10000</f>
        <v>44640.013144535667</v>
      </c>
      <c r="X11" s="25">
        <f>V11*24.3/(24.3+15.99)*10000</f>
        <v>1053.1634620111131</v>
      </c>
      <c r="Y11" s="4"/>
      <c r="Z11" s="27" t="s">
        <v>1</v>
      </c>
      <c r="AA11" s="30">
        <f>(7.26+7.34)/2</f>
        <v>7.3</v>
      </c>
      <c r="AB11" s="7">
        <v>6.62</v>
      </c>
      <c r="AC11" s="7">
        <v>7.57</v>
      </c>
      <c r="AD11" s="29">
        <f>AA11*24.3/(24.3+15.99)*10000</f>
        <v>44028.294862248695</v>
      </c>
      <c r="AE11" s="29">
        <f>AB11*24.3/(24.3+15.99)*10000</f>
        <v>39927.029039463894</v>
      </c>
      <c r="AF11" s="29">
        <f>AC11*24.3/(24.3+15.99)*10000</f>
        <v>45656.738644825025</v>
      </c>
      <c r="AG11" s="29">
        <f t="shared" si="2"/>
        <v>4101.2658227848005</v>
      </c>
      <c r="AH11" s="29">
        <f t="shared" si="3"/>
        <v>1628.4437825763307</v>
      </c>
      <c r="AI11" s="8"/>
      <c r="AJ11" s="38">
        <f t="shared" si="4"/>
        <v>1.389375364639615</v>
      </c>
      <c r="AK11" s="3"/>
    </row>
    <row r="12" spans="1:37">
      <c r="A12" s="1" t="s">
        <v>6</v>
      </c>
      <c r="B12" s="1" t="s">
        <v>92</v>
      </c>
      <c r="C12" s="3">
        <v>11.292169589328102</v>
      </c>
      <c r="D12" s="3">
        <v>11.232295594016026</v>
      </c>
      <c r="E12" s="3">
        <v>11.496728611271092</v>
      </c>
      <c r="F12" s="3">
        <v>11.55075875350138</v>
      </c>
      <c r="G12" s="3">
        <v>11.268489283774318</v>
      </c>
      <c r="H12" s="3">
        <v>11.143021494051515</v>
      </c>
      <c r="I12" s="3">
        <v>11.350643268585769</v>
      </c>
      <c r="J12" s="3">
        <v>11.654753168831029</v>
      </c>
      <c r="K12" s="3">
        <v>11.275277108987288</v>
      </c>
      <c r="L12" s="3">
        <v>11.2540835244998</v>
      </c>
      <c r="M12" s="3">
        <v>11.295265775022196</v>
      </c>
      <c r="N12" s="3">
        <v>11.326094566458917</v>
      </c>
      <c r="O12" s="3">
        <v>11.35458455546015</v>
      </c>
      <c r="P12" s="3">
        <v>11.17159884349554</v>
      </c>
      <c r="Q12" s="3">
        <v>11.314479901282457</v>
      </c>
      <c r="R12" s="3">
        <v>11.458769610078152</v>
      </c>
      <c r="S12" s="3">
        <v>11.237426947651393</v>
      </c>
      <c r="T12" s="3">
        <v>11.386131846301641</v>
      </c>
      <c r="U12" s="39">
        <f t="shared" si="0"/>
        <v>11.336809580144264</v>
      </c>
      <c r="V12" s="40">
        <f t="shared" si="1"/>
        <v>0.13184856909846721</v>
      </c>
      <c r="W12" s="25">
        <f>U12*40.1/(40.1+15.99)*10000</f>
        <v>81049.396356531463</v>
      </c>
      <c r="X12" s="25">
        <f>V12*40.1/(40.1+15.99)*10000</f>
        <v>942.61501530549742</v>
      </c>
      <c r="Y12" s="4"/>
      <c r="Z12" s="27" t="s">
        <v>6</v>
      </c>
      <c r="AA12" s="28">
        <f>(10.8+10.9)/2</f>
        <v>10.850000000000001</v>
      </c>
      <c r="AB12" s="7">
        <v>9.85</v>
      </c>
      <c r="AC12" s="7">
        <v>15</v>
      </c>
      <c r="AD12" s="29">
        <f>AA12*40.1/(40.1+15.99)*10000</f>
        <v>77569.085398466763</v>
      </c>
      <c r="AE12" s="29">
        <f>AB12*40.1/(40.1+15.99)*10000</f>
        <v>70419.860937778576</v>
      </c>
      <c r="AF12" s="29">
        <f>AC12*40.1/(40.1+15.99)*10000</f>
        <v>107238.36691032269</v>
      </c>
      <c r="AG12" s="29">
        <f t="shared" si="2"/>
        <v>7149.2244606881868</v>
      </c>
      <c r="AH12" s="29">
        <f t="shared" si="3"/>
        <v>29669.281511855923</v>
      </c>
      <c r="AI12" s="8"/>
      <c r="AJ12" s="38">
        <f t="shared" si="4"/>
        <v>4.486724240960938</v>
      </c>
      <c r="AK12" s="3"/>
    </row>
    <row r="13" spans="1:37">
      <c r="A13" s="1" t="s">
        <v>0</v>
      </c>
      <c r="B13" s="1" t="s">
        <v>92</v>
      </c>
      <c r="C13" s="10">
        <v>2.3077504773630584</v>
      </c>
      <c r="D13" s="10">
        <v>2.2534694849566317</v>
      </c>
      <c r="E13" s="10">
        <v>2.3066321694638439</v>
      </c>
      <c r="F13" s="10">
        <v>2.3042391669898734</v>
      </c>
      <c r="G13" s="10">
        <v>2.3222798300823353</v>
      </c>
      <c r="H13" s="10">
        <v>2.2534592937596978</v>
      </c>
      <c r="I13" s="10">
        <v>2.2991001164757487</v>
      </c>
      <c r="J13" s="10">
        <v>2.3253910058978495</v>
      </c>
      <c r="K13" s="10">
        <v>2.2964518969570276</v>
      </c>
      <c r="L13" s="10">
        <v>2.284747451210893</v>
      </c>
      <c r="M13" s="10">
        <v>2.3107549696957745</v>
      </c>
      <c r="N13" s="10">
        <v>2.3659869140269989</v>
      </c>
      <c r="O13" s="10">
        <v>2.3105632744499185</v>
      </c>
      <c r="P13" s="10">
        <v>2.3588322782637348</v>
      </c>
      <c r="Q13" s="10">
        <v>2.2957054931661487</v>
      </c>
      <c r="R13" s="10">
        <v>2.3496199291450672</v>
      </c>
      <c r="S13" s="10">
        <v>2.364215674323197</v>
      </c>
      <c r="T13" s="10">
        <v>2.3489310542249835</v>
      </c>
      <c r="U13" s="40">
        <f t="shared" si="0"/>
        <v>2.314340582247377</v>
      </c>
      <c r="V13" s="40">
        <f t="shared" si="1"/>
        <v>3.3589027402635481E-2</v>
      </c>
      <c r="W13" s="25">
        <f>U13*46/(46+15.99)*10000</f>
        <v>17173.683946342851</v>
      </c>
      <c r="X13" s="17">
        <f>V13*46/(46+15.99)*10000</f>
        <v>249.24911445736925</v>
      </c>
      <c r="Y13" s="4"/>
      <c r="Z13" s="27" t="s">
        <v>143</v>
      </c>
      <c r="AA13" s="28">
        <f>(2.27+2.35)/2</f>
        <v>2.31</v>
      </c>
      <c r="AB13" s="7">
        <v>2.16</v>
      </c>
      <c r="AC13" s="7">
        <v>2.63</v>
      </c>
      <c r="AD13" s="29">
        <f>AA13*46/(46+15.99)*10000</f>
        <v>17141.474431359897</v>
      </c>
      <c r="AE13" s="29">
        <f>AB13*46/(46+15.99)*10000</f>
        <v>16028.391676076788</v>
      </c>
      <c r="AF13" s="29">
        <f>AC13*46/(46+15.99)*10000</f>
        <v>19516.050975963863</v>
      </c>
      <c r="AG13" s="29">
        <f t="shared" si="2"/>
        <v>1113.0827552831088</v>
      </c>
      <c r="AH13" s="29">
        <f t="shared" si="3"/>
        <v>2374.5765446039659</v>
      </c>
      <c r="AI13" s="8"/>
      <c r="AJ13" s="38">
        <f t="shared" si="4"/>
        <v>0.18790399339293834</v>
      </c>
      <c r="AK13" s="3"/>
    </row>
    <row r="14" spans="1:37">
      <c r="A14" s="1" t="s">
        <v>5</v>
      </c>
      <c r="B14" s="1" t="s">
        <v>92</v>
      </c>
      <c r="C14" s="10">
        <v>0.48490538465570659</v>
      </c>
      <c r="D14" s="10">
        <v>0.47877820799749377</v>
      </c>
      <c r="E14" s="10">
        <v>0.51524254900114252</v>
      </c>
      <c r="F14" s="10">
        <v>0.5249477914262054</v>
      </c>
      <c r="G14" s="10">
        <v>0.51123571274226398</v>
      </c>
      <c r="H14" s="10">
        <v>0.49802310034221003</v>
      </c>
      <c r="I14" s="10">
        <v>0.51801695786779234</v>
      </c>
      <c r="J14" s="10">
        <v>0.53006484076150351</v>
      </c>
      <c r="K14" s="10">
        <v>0.511565316259734</v>
      </c>
      <c r="L14" s="10">
        <v>0.51635996148011776</v>
      </c>
      <c r="M14" s="10">
        <v>0.50881294120780896</v>
      </c>
      <c r="N14" s="10">
        <v>0.51057133984405245</v>
      </c>
      <c r="O14" s="10">
        <v>0.49418564383159092</v>
      </c>
      <c r="P14" s="10">
        <v>0.51029579406366754</v>
      </c>
      <c r="Q14" s="10">
        <v>0.50645781917736621</v>
      </c>
      <c r="R14" s="10">
        <v>0.50644835033465585</v>
      </c>
      <c r="S14" s="10">
        <v>0.50283974274723342</v>
      </c>
      <c r="T14" s="10">
        <v>0.50040817077180255</v>
      </c>
      <c r="U14" s="40">
        <f t="shared" si="0"/>
        <v>0.50717553469513044</v>
      </c>
      <c r="V14" s="40">
        <f t="shared" si="1"/>
        <v>1.2803851527192187E-2</v>
      </c>
      <c r="W14" s="25">
        <f>U14*78.2/(78.2+15.99)*10000</f>
        <v>4210.7577039132811</v>
      </c>
      <c r="X14" s="17">
        <f>V14*78.2/(78.2+15.99)*10000</f>
        <v>106.30228149765678</v>
      </c>
      <c r="Y14" s="4"/>
      <c r="Z14" s="27" t="s">
        <v>144</v>
      </c>
      <c r="AA14" s="28">
        <v>0.48</v>
      </c>
      <c r="AB14" s="7">
        <v>0.44</v>
      </c>
      <c r="AC14" s="7">
        <v>0.9</v>
      </c>
      <c r="AD14" s="29">
        <f>AA14*78.2/(78.2+15.99)*10000</f>
        <v>3985.1364263722267</v>
      </c>
      <c r="AE14" s="29">
        <f>AB14*78.2/(78.2+15.99)*10000</f>
        <v>3653.0417241745413</v>
      </c>
      <c r="AF14" s="29">
        <f>AC14*78.2/(78.2+15.99)*10000</f>
        <v>7472.1307994479257</v>
      </c>
      <c r="AG14" s="29">
        <f t="shared" si="2"/>
        <v>332.09470219768536</v>
      </c>
      <c r="AH14" s="29">
        <f t="shared" si="3"/>
        <v>3486.9943730756991</v>
      </c>
      <c r="AI14" s="8"/>
      <c r="AJ14" s="38">
        <f t="shared" si="4"/>
        <v>5.6615697281521529</v>
      </c>
      <c r="AK14" s="3"/>
    </row>
    <row r="15" spans="1:37">
      <c r="A15" s="1" t="s">
        <v>4</v>
      </c>
      <c r="B15" s="1" t="s">
        <v>92</v>
      </c>
      <c r="C15" s="10">
        <v>0.25554849858254453</v>
      </c>
      <c r="D15" s="10">
        <v>0.27234308836820514</v>
      </c>
      <c r="E15" s="10">
        <v>0.26941847422781173</v>
      </c>
      <c r="F15" s="10">
        <v>0.2616681691465394</v>
      </c>
      <c r="G15" s="10">
        <v>0.292752412981935</v>
      </c>
      <c r="H15" s="10">
        <v>0.29407987678668557</v>
      </c>
      <c r="I15" s="10">
        <v>0.27561756820076155</v>
      </c>
      <c r="J15" s="10">
        <v>0.26448249781621191</v>
      </c>
      <c r="K15" s="10">
        <v>0.27980787831667225</v>
      </c>
      <c r="L15" s="10">
        <v>0.26639054300718262</v>
      </c>
      <c r="M15" s="10">
        <v>0.26798588895552156</v>
      </c>
      <c r="N15" s="10">
        <v>0.26264502696875575</v>
      </c>
      <c r="O15" s="10">
        <v>0.27769480369514005</v>
      </c>
      <c r="P15" s="10">
        <v>0.28630646558879735</v>
      </c>
      <c r="Q15" s="10">
        <v>0.26827930371499803</v>
      </c>
      <c r="R15" s="10">
        <v>0.27573957021900952</v>
      </c>
      <c r="S15" s="10">
        <v>0.27536177074760576</v>
      </c>
      <c r="T15" s="10">
        <v>0.26502743852881133</v>
      </c>
      <c r="U15" s="40">
        <f t="shared" si="0"/>
        <v>0.27284162643628829</v>
      </c>
      <c r="V15" s="40">
        <f t="shared" si="1"/>
        <v>1.0516438762984748E-2</v>
      </c>
      <c r="W15" s="25">
        <f>U15*62/(62+15.99*5)*10000</f>
        <v>1191.6999534378213</v>
      </c>
      <c r="X15" s="17">
        <f>V15*62/(62+15.99*5)*10000</f>
        <v>45.933018901377551</v>
      </c>
      <c r="Y15" s="4"/>
      <c r="Z15" s="27" t="s">
        <v>145</v>
      </c>
      <c r="AA15" s="30">
        <f>(0.232+0.25)/2</f>
        <v>0.24099999999999999</v>
      </c>
      <c r="AB15" s="7">
        <v>0.18</v>
      </c>
      <c r="AC15" s="7">
        <v>0.35</v>
      </c>
      <c r="AD15" s="29">
        <f>AA15*62/(62+15.99*5)*10000</f>
        <v>1052.6241634378302</v>
      </c>
      <c r="AE15" s="29">
        <f>AB15*62/(62+15.99*5)*10000</f>
        <v>786.19232123987331</v>
      </c>
      <c r="AF15" s="29">
        <f>AC15*62/(62+15.99*5)*10000</f>
        <v>1528.7072912997535</v>
      </c>
      <c r="AG15" s="29">
        <f t="shared" si="2"/>
        <v>266.43184219795694</v>
      </c>
      <c r="AH15" s="29">
        <f t="shared" si="3"/>
        <v>476.08312786192323</v>
      </c>
      <c r="AI15" s="8"/>
      <c r="AJ15" s="38">
        <f t="shared" si="4"/>
        <v>13.212293127090566</v>
      </c>
      <c r="AK15" s="3"/>
    </row>
    <row r="16" spans="1:37">
      <c r="A16" s="1" t="s">
        <v>13</v>
      </c>
      <c r="B16" s="1" t="s">
        <v>94</v>
      </c>
      <c r="C16" s="3">
        <v>35.399677459450288</v>
      </c>
      <c r="D16" s="3">
        <v>33.224653127092495</v>
      </c>
      <c r="E16" s="3">
        <v>35.605537728687999</v>
      </c>
      <c r="F16" s="3">
        <v>35.785983963549391</v>
      </c>
      <c r="G16" s="3">
        <v>33.543981995044717</v>
      </c>
      <c r="H16" s="3">
        <v>33.022057909828746</v>
      </c>
      <c r="I16" s="3">
        <v>33.013619027234938</v>
      </c>
      <c r="J16" s="3">
        <v>34.294093200023433</v>
      </c>
      <c r="K16" s="3">
        <v>33.829819559691273</v>
      </c>
      <c r="L16" s="3">
        <v>33.330646414336222</v>
      </c>
      <c r="M16" s="3">
        <v>35.504376712915239</v>
      </c>
      <c r="N16" s="3">
        <v>33.289002694543946</v>
      </c>
      <c r="O16" s="3">
        <v>31.688253133405539</v>
      </c>
      <c r="P16" s="3">
        <v>32.775517738814571</v>
      </c>
      <c r="Q16" s="3">
        <v>33.293285154430457</v>
      </c>
      <c r="R16" s="3">
        <v>33.616542271173316</v>
      </c>
      <c r="S16" s="3">
        <v>33.870818212825974</v>
      </c>
      <c r="T16" s="3">
        <v>31.974336003323952</v>
      </c>
      <c r="U16" s="41"/>
      <c r="V16" s="40"/>
      <c r="W16" s="17">
        <f t="shared" ref="W16:W39" si="5">AVERAGE(C16:T16)</f>
        <v>33.725677905909578</v>
      </c>
      <c r="X16" s="18">
        <f t="shared" ref="X16:X39" si="6">STDEV(C16:T16)</f>
        <v>1.1894794951134902</v>
      </c>
      <c r="Y16" s="5"/>
      <c r="Z16" s="27" t="s">
        <v>13</v>
      </c>
      <c r="AA16" s="27"/>
      <c r="AB16" s="27"/>
      <c r="AC16" s="27"/>
      <c r="AD16" s="31">
        <f>(31.8+32.3)/2</f>
        <v>32.049999999999997</v>
      </c>
      <c r="AE16" s="27">
        <v>25.96</v>
      </c>
      <c r="AF16" s="6">
        <v>35.299999999999997</v>
      </c>
      <c r="AG16" s="31">
        <f t="shared" si="2"/>
        <v>6.0899999999999963</v>
      </c>
      <c r="AH16" s="31">
        <f t="shared" si="3"/>
        <v>3.25</v>
      </c>
      <c r="AI16" s="8"/>
      <c r="AJ16" s="38">
        <f t="shared" si="4"/>
        <v>5.2283241994058676</v>
      </c>
      <c r="AK16" s="14"/>
    </row>
    <row r="17" spans="1:37">
      <c r="A17" s="1" t="s">
        <v>14</v>
      </c>
      <c r="B17" s="1" t="s">
        <v>94</v>
      </c>
      <c r="C17" s="11">
        <v>310.35477462423654</v>
      </c>
      <c r="D17" s="11">
        <v>315.00667247750914</v>
      </c>
      <c r="E17" s="11">
        <v>323.31816163746095</v>
      </c>
      <c r="F17" s="11">
        <v>317.73679898101631</v>
      </c>
      <c r="G17" s="11">
        <v>316.7015104832771</v>
      </c>
      <c r="H17" s="11">
        <v>311.71589317259713</v>
      </c>
      <c r="I17" s="11">
        <v>319.65356979195309</v>
      </c>
      <c r="J17" s="11">
        <v>317.09163792238195</v>
      </c>
      <c r="K17" s="11">
        <v>319.55949862545867</v>
      </c>
      <c r="L17" s="11">
        <v>314.75742352467427</v>
      </c>
      <c r="M17" s="11">
        <v>320.84378838296499</v>
      </c>
      <c r="N17" s="11">
        <v>328.26240001526025</v>
      </c>
      <c r="O17" s="11">
        <v>317.88925409828272</v>
      </c>
      <c r="P17" s="11">
        <v>322.13187926660186</v>
      </c>
      <c r="Q17" s="11">
        <v>319.49602407927807</v>
      </c>
      <c r="R17" s="11">
        <v>328.36046797579337</v>
      </c>
      <c r="S17" s="11">
        <v>317.32542500312553</v>
      </c>
      <c r="T17" s="11">
        <v>318.257205359284</v>
      </c>
      <c r="U17" s="11"/>
      <c r="V17" s="4"/>
      <c r="W17" s="25">
        <f t="shared" si="5"/>
        <v>318.8034658567309</v>
      </c>
      <c r="X17" s="18">
        <f t="shared" si="6"/>
        <v>4.742862503925954</v>
      </c>
      <c r="Y17" s="5"/>
      <c r="Z17" s="27" t="s">
        <v>14</v>
      </c>
      <c r="AA17" s="27"/>
      <c r="AB17" s="27"/>
      <c r="AC17" s="27"/>
      <c r="AD17" s="28">
        <f>(309+370)/2</f>
        <v>339.5</v>
      </c>
      <c r="AE17" s="27">
        <v>206</v>
      </c>
      <c r="AF17" s="29">
        <v>465</v>
      </c>
      <c r="AG17" s="28">
        <f t="shared" si="2"/>
        <v>133.5</v>
      </c>
      <c r="AH17" s="28">
        <f t="shared" si="3"/>
        <v>125.5</v>
      </c>
      <c r="AI17" s="8"/>
      <c r="AJ17" s="38">
        <f t="shared" si="4"/>
        <v>-6.0961808963973798</v>
      </c>
      <c r="AK17" s="14"/>
    </row>
    <row r="18" spans="1:37">
      <c r="A18" s="1" t="s">
        <v>15</v>
      </c>
      <c r="B18" s="1" t="s">
        <v>94</v>
      </c>
      <c r="C18" s="11">
        <v>268.55639111968804</v>
      </c>
      <c r="D18" s="11">
        <v>256.02308735695402</v>
      </c>
      <c r="E18" s="11">
        <v>288.84538255875327</v>
      </c>
      <c r="F18" s="11">
        <v>292.22975893693012</v>
      </c>
      <c r="G18" s="11">
        <v>281.24763207500087</v>
      </c>
      <c r="H18" s="11">
        <v>284.15594208994952</v>
      </c>
      <c r="I18" s="11">
        <v>296.87233781081477</v>
      </c>
      <c r="J18" s="11">
        <v>340.53404765204056</v>
      </c>
      <c r="K18" s="11">
        <v>298.33258100731564</v>
      </c>
      <c r="L18" s="11">
        <v>269.95312783157004</v>
      </c>
      <c r="M18" s="11">
        <v>298.18311637353941</v>
      </c>
      <c r="N18" s="11">
        <v>307.30105446019542</v>
      </c>
      <c r="O18" s="11">
        <v>302.19264720367363</v>
      </c>
      <c r="P18" s="11">
        <v>289.80897269815711</v>
      </c>
      <c r="Q18" s="11">
        <v>299.04295031303349</v>
      </c>
      <c r="R18" s="11">
        <v>298.63194483585062</v>
      </c>
      <c r="S18" s="11">
        <v>299.63343837182492</v>
      </c>
      <c r="T18" s="11">
        <v>277.51362167586706</v>
      </c>
      <c r="U18" s="11"/>
      <c r="V18" s="4"/>
      <c r="W18" s="25">
        <f t="shared" si="5"/>
        <v>291.61433524284217</v>
      </c>
      <c r="X18" s="17">
        <f t="shared" si="6"/>
        <v>18.27345338264605</v>
      </c>
      <c r="Y18" s="5"/>
      <c r="Z18" s="27" t="s">
        <v>15</v>
      </c>
      <c r="AA18" s="27"/>
      <c r="AB18" s="27"/>
      <c r="AC18" s="27"/>
      <c r="AD18" s="28">
        <f>(294+310)/2</f>
        <v>302</v>
      </c>
      <c r="AE18" s="27">
        <v>200</v>
      </c>
      <c r="AF18" s="29">
        <v>450</v>
      </c>
      <c r="AG18" s="28">
        <f t="shared" si="2"/>
        <v>102</v>
      </c>
      <c r="AH18" s="28">
        <f t="shared" si="3"/>
        <v>148</v>
      </c>
      <c r="AI18" s="8"/>
      <c r="AJ18" s="38">
        <f t="shared" si="4"/>
        <v>-3.4389618401184854</v>
      </c>
      <c r="AK18" s="14"/>
    </row>
    <row r="19" spans="1:37">
      <c r="A19" s="1" t="s">
        <v>16</v>
      </c>
      <c r="B19" s="1" t="s">
        <v>94</v>
      </c>
      <c r="C19" s="3">
        <v>43.445515125766036</v>
      </c>
      <c r="D19" s="3">
        <v>42.887168813078119</v>
      </c>
      <c r="E19" s="3">
        <v>44.406811739846511</v>
      </c>
      <c r="F19" s="3">
        <v>43.055358262812618</v>
      </c>
      <c r="G19" s="3">
        <v>43.89298337694914</v>
      </c>
      <c r="H19" s="3">
        <v>42.054833116419118</v>
      </c>
      <c r="I19" s="3">
        <v>43.620320200277</v>
      </c>
      <c r="J19" s="3">
        <v>43.481782078872811</v>
      </c>
      <c r="K19" s="3">
        <v>43.862455697779446</v>
      </c>
      <c r="L19" s="3">
        <v>43.545590519705556</v>
      </c>
      <c r="M19" s="3">
        <v>44.659393144632169</v>
      </c>
      <c r="N19" s="3">
        <v>46.028181531725004</v>
      </c>
      <c r="O19" s="3">
        <v>43.521463758668695</v>
      </c>
      <c r="P19" s="3">
        <v>44.045008629873131</v>
      </c>
      <c r="Q19" s="3">
        <v>43.667935451091282</v>
      </c>
      <c r="R19" s="3">
        <v>45.256747323598169</v>
      </c>
      <c r="S19" s="3">
        <v>43.870301251270952</v>
      </c>
      <c r="T19" s="3">
        <v>44.457809227133104</v>
      </c>
      <c r="U19" s="3"/>
      <c r="V19" s="4"/>
      <c r="W19" s="17">
        <f t="shared" si="5"/>
        <v>43.875536624972149</v>
      </c>
      <c r="X19" s="18">
        <f t="shared" si="6"/>
        <v>0.88959752981514961</v>
      </c>
      <c r="Y19" s="5"/>
      <c r="Z19" s="27" t="s">
        <v>16</v>
      </c>
      <c r="AA19" s="27"/>
      <c r="AB19" s="27"/>
      <c r="AC19" s="27"/>
      <c r="AD19" s="28">
        <f>(41.2+42)/2</f>
        <v>41.6</v>
      </c>
      <c r="AE19" s="27">
        <v>26.9</v>
      </c>
      <c r="AF19" s="6">
        <v>51.3</v>
      </c>
      <c r="AG19" s="28">
        <f t="shared" si="2"/>
        <v>14.700000000000003</v>
      </c>
      <c r="AH19" s="28">
        <f t="shared" si="3"/>
        <v>9.6999999999999957</v>
      </c>
      <c r="AI19" s="8"/>
      <c r="AJ19" s="38">
        <f t="shared" si="4"/>
        <v>5.4700399638753545</v>
      </c>
      <c r="AK19" s="14"/>
    </row>
    <row r="20" spans="1:37">
      <c r="A20" s="1" t="s">
        <v>17</v>
      </c>
      <c r="B20" s="1" t="s">
        <v>94</v>
      </c>
      <c r="C20" s="11">
        <v>117.28061759932746</v>
      </c>
      <c r="D20" s="11">
        <v>111.51557273451664</v>
      </c>
      <c r="E20" s="11">
        <v>112.55926933351728</v>
      </c>
      <c r="F20" s="11">
        <v>110.36685622364465</v>
      </c>
      <c r="G20" s="11">
        <v>107.44753137330176</v>
      </c>
      <c r="H20" s="11">
        <v>107.81784632588685</v>
      </c>
      <c r="I20" s="11">
        <v>115.97904194427673</v>
      </c>
      <c r="J20" s="11">
        <v>116.13950939732109</v>
      </c>
      <c r="K20" s="11">
        <v>112.23564137624548</v>
      </c>
      <c r="L20" s="11">
        <v>111.44077496375905</v>
      </c>
      <c r="M20" s="11">
        <v>116.11020883179123</v>
      </c>
      <c r="N20" s="11">
        <v>116.74165373468671</v>
      </c>
      <c r="O20" s="11">
        <v>111.51613046037855</v>
      </c>
      <c r="P20" s="11">
        <v>115.3196784167216</v>
      </c>
      <c r="Q20" s="11">
        <v>113.20923208567064</v>
      </c>
      <c r="R20" s="11">
        <v>125.98474257715559</v>
      </c>
      <c r="S20" s="11">
        <v>116.32211122691645</v>
      </c>
      <c r="T20" s="11">
        <v>110.92412200320928</v>
      </c>
      <c r="U20" s="11"/>
      <c r="V20" s="4"/>
      <c r="W20" s="25">
        <f t="shared" si="5"/>
        <v>113.82836336712927</v>
      </c>
      <c r="X20" s="18">
        <f t="shared" si="6"/>
        <v>4.270169962539442</v>
      </c>
      <c r="Y20" s="5"/>
      <c r="Z20" s="27" t="s">
        <v>17</v>
      </c>
      <c r="AA20" s="27"/>
      <c r="AB20" s="27"/>
      <c r="AC20" s="27"/>
      <c r="AD20" s="28">
        <f>(112+116)/2</f>
        <v>114</v>
      </c>
      <c r="AE20" s="35">
        <v>83.44</v>
      </c>
      <c r="AF20" s="29">
        <v>131</v>
      </c>
      <c r="AG20" s="28">
        <f t="shared" si="2"/>
        <v>30.560000000000002</v>
      </c>
      <c r="AH20" s="28">
        <f t="shared" si="3"/>
        <v>17</v>
      </c>
      <c r="AI20" s="8"/>
      <c r="AJ20" s="38">
        <f t="shared" si="4"/>
        <v>-0.15055844988660483</v>
      </c>
      <c r="AK20" s="14"/>
    </row>
    <row r="21" spans="1:37">
      <c r="A21" s="1" t="s">
        <v>18</v>
      </c>
      <c r="B21" s="1" t="s">
        <v>94</v>
      </c>
      <c r="C21" s="3">
        <v>90.498532327538712</v>
      </c>
      <c r="D21" s="3">
        <v>91.729204497901947</v>
      </c>
      <c r="E21" s="3">
        <v>95.086513096446311</v>
      </c>
      <c r="F21" s="3">
        <v>95.085818043536136</v>
      </c>
      <c r="G21" s="3">
        <v>94.280505736924127</v>
      </c>
      <c r="H21" s="3">
        <v>93.304906773995398</v>
      </c>
      <c r="I21" s="3">
        <v>92.842837524964608</v>
      </c>
      <c r="J21" s="3">
        <v>81.649329219552712</v>
      </c>
      <c r="K21" s="3">
        <v>90.564790638157589</v>
      </c>
      <c r="L21" s="11">
        <v>105.347986842241</v>
      </c>
      <c r="M21" s="3">
        <v>88.921936930725764</v>
      </c>
      <c r="N21" s="3">
        <v>87.407933937556351</v>
      </c>
      <c r="O21" s="3">
        <v>88.025507228795647</v>
      </c>
      <c r="P21" s="3">
        <v>96.596501378722593</v>
      </c>
      <c r="Q21" s="3">
        <v>90.432787920069316</v>
      </c>
      <c r="R21" s="11">
        <v>100.67615380425786</v>
      </c>
      <c r="S21" s="3">
        <v>89.947297925715887</v>
      </c>
      <c r="T21" s="11">
        <v>101.40168791692641</v>
      </c>
      <c r="U21" s="11"/>
      <c r="V21" s="4"/>
      <c r="W21" s="17">
        <f t="shared" si="5"/>
        <v>92.988901763557138</v>
      </c>
      <c r="X21" s="18">
        <f t="shared" si="6"/>
        <v>5.6181208868418713</v>
      </c>
      <c r="Y21" s="5"/>
      <c r="Z21" s="27" t="s">
        <v>18</v>
      </c>
      <c r="AA21" s="27"/>
      <c r="AB21" s="27"/>
      <c r="AC21" s="27"/>
      <c r="AD21" s="31">
        <f>(87.9+95)/2</f>
        <v>91.45</v>
      </c>
      <c r="AE21" s="27">
        <v>66</v>
      </c>
      <c r="AF21" s="29">
        <v>104</v>
      </c>
      <c r="AG21" s="31">
        <f t="shared" si="2"/>
        <v>25.450000000000003</v>
      </c>
      <c r="AH21" s="31">
        <f t="shared" si="3"/>
        <v>12.549999999999997</v>
      </c>
      <c r="AI21" s="8"/>
      <c r="AJ21" s="38">
        <f t="shared" si="4"/>
        <v>1.6827794024681628</v>
      </c>
      <c r="AK21" s="14"/>
    </row>
    <row r="22" spans="1:37">
      <c r="A22" s="1" t="s">
        <v>19</v>
      </c>
      <c r="B22" s="1" t="s">
        <v>94</v>
      </c>
      <c r="C22" s="3">
        <v>99.837483863487307</v>
      </c>
      <c r="D22" s="11">
        <v>100.47285390153905</v>
      </c>
      <c r="E22" s="11">
        <v>104.05777259124137</v>
      </c>
      <c r="F22" s="11">
        <v>103.74010014959808</v>
      </c>
      <c r="G22" s="11">
        <v>110.50158614267156</v>
      </c>
      <c r="H22" s="11">
        <v>103.50578208204411</v>
      </c>
      <c r="I22" s="11">
        <v>103.74407707432167</v>
      </c>
      <c r="J22" s="11">
        <v>108.06957565814834</v>
      </c>
      <c r="K22" s="11">
        <v>108.24007453637326</v>
      </c>
      <c r="L22" s="11">
        <v>106.46802362055668</v>
      </c>
      <c r="M22" s="11">
        <v>103.99300455708415</v>
      </c>
      <c r="N22" s="11">
        <v>104.46987110529057</v>
      </c>
      <c r="O22" s="3">
        <v>99.82483343958549</v>
      </c>
      <c r="P22" s="11">
        <v>112.35369547984028</v>
      </c>
      <c r="Q22" s="11">
        <v>106.66317354781248</v>
      </c>
      <c r="R22" s="11">
        <v>114.87316141147613</v>
      </c>
      <c r="S22" s="11">
        <v>105.3599186087684</v>
      </c>
      <c r="T22" s="11">
        <v>116.06503742824086</v>
      </c>
      <c r="U22" s="11"/>
      <c r="V22" s="4"/>
      <c r="W22" s="25">
        <f t="shared" si="5"/>
        <v>106.23555695544889</v>
      </c>
      <c r="X22" s="18">
        <f t="shared" si="6"/>
        <v>4.748127912829804</v>
      </c>
      <c r="Y22" s="5"/>
      <c r="Z22" s="27" t="s">
        <v>19</v>
      </c>
      <c r="AA22" s="27"/>
      <c r="AB22" s="27"/>
      <c r="AC22" s="27"/>
      <c r="AD22" s="28">
        <f>(110+112)/2</f>
        <v>111</v>
      </c>
      <c r="AE22" s="27">
        <v>78.900000000000006</v>
      </c>
      <c r="AF22" s="29">
        <v>129</v>
      </c>
      <c r="AG22" s="28">
        <f t="shared" si="2"/>
        <v>32.099999999999994</v>
      </c>
      <c r="AH22" s="28">
        <f t="shared" si="3"/>
        <v>18</v>
      </c>
      <c r="AI22" s="8"/>
      <c r="AJ22" s="38">
        <f t="shared" si="4"/>
        <v>-4.2922910311271298</v>
      </c>
      <c r="AK22" s="14"/>
    </row>
    <row r="23" spans="1:37">
      <c r="A23" s="1" t="s">
        <v>20</v>
      </c>
      <c r="B23" s="1" t="s">
        <v>94</v>
      </c>
      <c r="C23" s="3">
        <v>19.571427822182336</v>
      </c>
      <c r="D23" s="3">
        <v>19.335655594012298</v>
      </c>
      <c r="E23" s="3">
        <v>20.124239858512663</v>
      </c>
      <c r="F23" s="3">
        <v>20.678366298387598</v>
      </c>
      <c r="G23" s="3">
        <v>21.238635952766053</v>
      </c>
      <c r="H23" s="3">
        <v>21.113334534727308</v>
      </c>
      <c r="I23" s="3">
        <v>22.321459090859751</v>
      </c>
      <c r="J23" s="3">
        <v>21.854801159014812</v>
      </c>
      <c r="K23" s="3">
        <v>19.390870395164633</v>
      </c>
      <c r="L23" s="3">
        <v>18.97142497386168</v>
      </c>
      <c r="M23" s="3">
        <v>18.961483383147403</v>
      </c>
      <c r="N23" s="3">
        <v>20.548611360519892</v>
      </c>
      <c r="O23" s="3">
        <v>22.255445945250074</v>
      </c>
      <c r="P23" s="3">
        <v>21.343930695827638</v>
      </c>
      <c r="Q23" s="3">
        <v>20.477874661975385</v>
      </c>
      <c r="R23" s="3">
        <v>19.457608242010963</v>
      </c>
      <c r="S23" s="3">
        <v>19.945243547079755</v>
      </c>
      <c r="T23" s="3">
        <v>20.474687103204953</v>
      </c>
      <c r="U23" s="3"/>
      <c r="V23" s="4"/>
      <c r="W23" s="17">
        <f t="shared" si="5"/>
        <v>20.448061145472504</v>
      </c>
      <c r="X23" s="18">
        <f t="shared" si="6"/>
        <v>1.0721813970483718</v>
      </c>
      <c r="Y23" s="5"/>
      <c r="Z23" s="27" t="s">
        <v>20</v>
      </c>
      <c r="AA23" s="27"/>
      <c r="AB23" s="27"/>
      <c r="AC23" s="27"/>
      <c r="AD23" s="31">
        <v>20</v>
      </c>
      <c r="AE23" s="35">
        <v>18</v>
      </c>
      <c r="AF23" s="6">
        <v>24.5</v>
      </c>
      <c r="AG23" s="31">
        <f t="shared" si="2"/>
        <v>2</v>
      </c>
      <c r="AH23" s="31">
        <f t="shared" si="3"/>
        <v>4.5</v>
      </c>
      <c r="AI23" s="8"/>
      <c r="AJ23" s="38">
        <f t="shared" si="4"/>
        <v>2.2403057273625215</v>
      </c>
      <c r="AK23" s="14"/>
    </row>
    <row r="24" spans="1:37">
      <c r="A24" s="1" t="s">
        <v>21</v>
      </c>
      <c r="B24" s="1" t="s">
        <v>94</v>
      </c>
      <c r="C24" s="10">
        <v>8.3123311086976805</v>
      </c>
      <c r="D24" s="10">
        <v>8.1169202713813693</v>
      </c>
      <c r="E24" s="10">
        <v>8.3285463997513602</v>
      </c>
      <c r="F24" s="10">
        <v>9.0904840585477213</v>
      </c>
      <c r="G24" s="10">
        <v>8.4426859537441992</v>
      </c>
      <c r="H24" s="10">
        <v>8.5376731931789127</v>
      </c>
      <c r="I24" s="10">
        <v>9.2483596715290037</v>
      </c>
      <c r="J24" s="10">
        <v>8.6555438885581086</v>
      </c>
      <c r="K24" s="10">
        <v>8.3946123496500267</v>
      </c>
      <c r="L24" s="10">
        <v>8.4195138621747816</v>
      </c>
      <c r="M24" s="10">
        <v>8.4770124331474896</v>
      </c>
      <c r="N24" s="10">
        <v>8.2762616401548286</v>
      </c>
      <c r="O24" s="10">
        <v>8.3506342961595355</v>
      </c>
      <c r="P24" s="10">
        <v>8.5716557336904629</v>
      </c>
      <c r="Q24" s="10">
        <v>8.8123732632390173</v>
      </c>
      <c r="R24" s="10">
        <v>8.734461260643732</v>
      </c>
      <c r="S24" s="10">
        <v>8.338337862501243</v>
      </c>
      <c r="T24" s="10">
        <v>7.8982520091880799</v>
      </c>
      <c r="U24" s="10"/>
      <c r="V24" s="4"/>
      <c r="W24" s="18">
        <f t="shared" si="5"/>
        <v>8.5003144031076427</v>
      </c>
      <c r="X24" s="18">
        <f t="shared" si="6"/>
        <v>0.32407124173795715</v>
      </c>
      <c r="Y24" s="5"/>
      <c r="Z24" s="27" t="s">
        <v>21</v>
      </c>
      <c r="AA24" s="27"/>
      <c r="AB24" s="27"/>
      <c r="AC24" s="27"/>
      <c r="AD24" s="30">
        <f>(8.7+8.9)/2</f>
        <v>8.8000000000000007</v>
      </c>
      <c r="AE24" s="36">
        <v>5</v>
      </c>
      <c r="AF24" s="6">
        <v>11.6</v>
      </c>
      <c r="AG24" s="30">
        <f t="shared" si="2"/>
        <v>3.8000000000000007</v>
      </c>
      <c r="AH24" s="30">
        <f t="shared" si="3"/>
        <v>2.7999999999999989</v>
      </c>
      <c r="AI24" s="8"/>
      <c r="AJ24" s="38">
        <f t="shared" si="4"/>
        <v>-3.4055181465040678</v>
      </c>
      <c r="AK24" s="14"/>
    </row>
    <row r="25" spans="1:37">
      <c r="A25" s="1" t="s">
        <v>22</v>
      </c>
      <c r="B25" s="1" t="s">
        <v>94</v>
      </c>
      <c r="C25" s="11">
        <v>364.44381350555284</v>
      </c>
      <c r="D25" s="11">
        <v>365.93456479770902</v>
      </c>
      <c r="E25" s="11">
        <v>367.25182563730982</v>
      </c>
      <c r="F25" s="11">
        <v>378.85202899888037</v>
      </c>
      <c r="G25" s="11">
        <v>369.35960344168802</v>
      </c>
      <c r="H25" s="11">
        <v>360.92641528354272</v>
      </c>
      <c r="I25" s="11">
        <v>369.05081232162672</v>
      </c>
      <c r="J25" s="11">
        <v>374.77175950265922</v>
      </c>
      <c r="K25" s="11">
        <v>366.29990207109739</v>
      </c>
      <c r="L25" s="11">
        <v>365.23394498031672</v>
      </c>
      <c r="M25" s="11">
        <v>371.02280415343967</v>
      </c>
      <c r="N25" s="11">
        <v>376.42790501636739</v>
      </c>
      <c r="O25" s="11">
        <v>363.71227705058152</v>
      </c>
      <c r="P25" s="11">
        <v>366.89664017349736</v>
      </c>
      <c r="Q25" s="11">
        <v>367.89124333823361</v>
      </c>
      <c r="R25" s="11">
        <v>376.61622132297936</v>
      </c>
      <c r="S25" s="11">
        <v>375.99649436313103</v>
      </c>
      <c r="T25" s="11">
        <v>375.39998666125405</v>
      </c>
      <c r="U25" s="11"/>
      <c r="V25" s="4"/>
      <c r="W25" s="25">
        <f t="shared" si="5"/>
        <v>369.78268014554811</v>
      </c>
      <c r="X25" s="18">
        <f t="shared" si="6"/>
        <v>5.3144967145767996</v>
      </c>
      <c r="Y25" s="5"/>
      <c r="Z25" s="27" t="s">
        <v>22</v>
      </c>
      <c r="AA25" s="27"/>
      <c r="AB25" s="27"/>
      <c r="AC25" s="27"/>
      <c r="AD25" s="28">
        <f>(356+364)/2</f>
        <v>360</v>
      </c>
      <c r="AE25" s="27">
        <v>317</v>
      </c>
      <c r="AF25" s="29">
        <v>407</v>
      </c>
      <c r="AG25" s="31">
        <f t="shared" si="2"/>
        <v>43</v>
      </c>
      <c r="AH25" s="31">
        <f t="shared" si="3"/>
        <v>47</v>
      </c>
      <c r="AI25" s="8"/>
      <c r="AJ25" s="38">
        <f t="shared" si="4"/>
        <v>2.7174111515411425</v>
      </c>
      <c r="AK25" s="14"/>
    </row>
    <row r="26" spans="1:37">
      <c r="A26" s="1" t="s">
        <v>23</v>
      </c>
      <c r="B26" s="1" t="s">
        <v>94</v>
      </c>
      <c r="C26" s="3">
        <v>24.327326214232826</v>
      </c>
      <c r="D26" s="3">
        <v>24.839495209753828</v>
      </c>
      <c r="E26" s="3">
        <v>25.212714183980552</v>
      </c>
      <c r="F26" s="3">
        <v>26.510817853911394</v>
      </c>
      <c r="G26" s="3">
        <v>24.885158731442647</v>
      </c>
      <c r="H26" s="3">
        <v>24.633331925953225</v>
      </c>
      <c r="I26" s="3">
        <v>24.666825858869217</v>
      </c>
      <c r="J26" s="3">
        <v>25.385499818774427</v>
      </c>
      <c r="K26" s="3">
        <v>24.694663700343067</v>
      </c>
      <c r="L26" s="3">
        <v>24.15536822865834</v>
      </c>
      <c r="M26" s="3">
        <v>24.722243210243668</v>
      </c>
      <c r="N26" s="3">
        <v>25.309003792037736</v>
      </c>
      <c r="O26" s="3">
        <v>23.805843180338364</v>
      </c>
      <c r="P26" s="3">
        <v>23.65393261587085</v>
      </c>
      <c r="Q26" s="3">
        <v>23.92349749145145</v>
      </c>
      <c r="R26" s="3">
        <v>25.203370395894979</v>
      </c>
      <c r="S26" s="3">
        <v>24.469184769974795</v>
      </c>
      <c r="T26" s="3">
        <v>24.726184146824352</v>
      </c>
      <c r="U26" s="3"/>
      <c r="V26" s="4"/>
      <c r="W26" s="17">
        <f t="shared" si="5"/>
        <v>24.729136740475312</v>
      </c>
      <c r="X26" s="18">
        <f t="shared" si="6"/>
        <v>0.67155853895702011</v>
      </c>
      <c r="Y26" s="5"/>
      <c r="Z26" s="27" t="s">
        <v>23</v>
      </c>
      <c r="AA26" s="27"/>
      <c r="AB26" s="27"/>
      <c r="AC26" s="27"/>
      <c r="AD26" s="28">
        <f>(25.4+26.8)/2</f>
        <v>26.1</v>
      </c>
      <c r="AE26" s="36">
        <v>21</v>
      </c>
      <c r="AF26" s="6">
        <v>33.6</v>
      </c>
      <c r="AG26" s="30">
        <f t="shared" si="2"/>
        <v>5.1000000000000014</v>
      </c>
      <c r="AH26" s="30">
        <f t="shared" si="3"/>
        <v>7.5</v>
      </c>
      <c r="AI26" s="8"/>
      <c r="AJ26" s="38">
        <f t="shared" si="4"/>
        <v>-5.2523496533513017</v>
      </c>
      <c r="AK26" s="14"/>
    </row>
    <row r="27" spans="1:37">
      <c r="A27" s="1" t="s">
        <v>24</v>
      </c>
      <c r="B27" s="1" t="s">
        <v>94</v>
      </c>
      <c r="C27" s="11">
        <v>151.06797938831633</v>
      </c>
      <c r="D27" s="11">
        <v>150.73590800754661</v>
      </c>
      <c r="E27" s="11">
        <v>155.92254502347501</v>
      </c>
      <c r="F27" s="11">
        <v>158.87365875151789</v>
      </c>
      <c r="G27" s="11">
        <v>155.09490284819981</v>
      </c>
      <c r="H27" s="11">
        <v>152.41488175018094</v>
      </c>
      <c r="I27" s="11">
        <v>152.34773549053929</v>
      </c>
      <c r="J27" s="11">
        <v>157.32744940921467</v>
      </c>
      <c r="K27" s="11">
        <v>155.39234134540743</v>
      </c>
      <c r="L27" s="11">
        <v>153.02715346497115</v>
      </c>
      <c r="M27" s="11">
        <v>145.99600689207784</v>
      </c>
      <c r="N27" s="11">
        <v>147.3927923928176</v>
      </c>
      <c r="O27" s="11">
        <v>147.2506556523204</v>
      </c>
      <c r="P27" s="11">
        <v>150.34580931016794</v>
      </c>
      <c r="Q27" s="11">
        <v>151.10670044355908</v>
      </c>
      <c r="R27" s="11">
        <v>152.34048825612652</v>
      </c>
      <c r="S27" s="11">
        <v>153.76661432475683</v>
      </c>
      <c r="T27" s="11">
        <v>155.02293024042783</v>
      </c>
      <c r="U27" s="11"/>
      <c r="V27" s="4"/>
      <c r="W27" s="25">
        <f t="shared" si="5"/>
        <v>152.52369738842356</v>
      </c>
      <c r="X27" s="18">
        <f t="shared" si="6"/>
        <v>3.4871153520429021</v>
      </c>
      <c r="Y27" s="5"/>
      <c r="Z27" s="27" t="s">
        <v>24</v>
      </c>
      <c r="AA27" s="27"/>
      <c r="AB27" s="27"/>
      <c r="AC27" s="27"/>
      <c r="AD27" s="32">
        <f>(152+159)/2</f>
        <v>155.5</v>
      </c>
      <c r="AE27" s="27">
        <v>127</v>
      </c>
      <c r="AF27" s="29">
        <v>218</v>
      </c>
      <c r="AG27" s="31">
        <f t="shared" si="2"/>
        <v>28.5</v>
      </c>
      <c r="AH27" s="31">
        <f t="shared" si="3"/>
        <v>62.5</v>
      </c>
      <c r="AI27" s="8"/>
      <c r="AJ27" s="38">
        <f t="shared" si="4"/>
        <v>-1.9140209720748831</v>
      </c>
      <c r="AK27" s="14"/>
    </row>
    <row r="28" spans="1:37">
      <c r="A28" s="1" t="s">
        <v>25</v>
      </c>
      <c r="B28" s="1" t="s">
        <v>94</v>
      </c>
      <c r="C28" s="3">
        <v>13.553409343006624</v>
      </c>
      <c r="D28" s="3">
        <v>13.977253449901209</v>
      </c>
      <c r="E28" s="3">
        <v>14.180215212592856</v>
      </c>
      <c r="F28" s="3">
        <v>14.677708775451737</v>
      </c>
      <c r="G28" s="3">
        <v>13.888402348746521</v>
      </c>
      <c r="H28" s="3">
        <v>14.109983917794326</v>
      </c>
      <c r="I28" s="3">
        <v>14.033864533121141</v>
      </c>
      <c r="J28" s="3">
        <v>14.483422274502958</v>
      </c>
      <c r="K28" s="3">
        <v>14.472950350554827</v>
      </c>
      <c r="L28" s="3">
        <v>13.872812311893801</v>
      </c>
      <c r="M28" s="3">
        <v>14.750695834564375</v>
      </c>
      <c r="N28" s="3">
        <v>14.560815520730108</v>
      </c>
      <c r="O28" s="3">
        <v>14.325456686277208</v>
      </c>
      <c r="P28" s="3">
        <v>14.203069938272399</v>
      </c>
      <c r="Q28" s="3">
        <v>14.750455415163938</v>
      </c>
      <c r="R28" s="3">
        <v>14.43918582327184</v>
      </c>
      <c r="S28" s="3">
        <v>14.242920607952341</v>
      </c>
      <c r="T28" s="3">
        <v>14.208502084802484</v>
      </c>
      <c r="U28" s="3"/>
      <c r="V28" s="4"/>
      <c r="W28" s="17">
        <f t="shared" si="5"/>
        <v>14.26284024603337</v>
      </c>
      <c r="X28" s="18">
        <f t="shared" si="6"/>
        <v>0.32820540182387714</v>
      </c>
      <c r="Y28" s="5"/>
      <c r="Z28" s="27" t="s">
        <v>25</v>
      </c>
      <c r="AA28" s="27"/>
      <c r="AB28" s="27"/>
      <c r="AC28" s="27"/>
      <c r="AD28" s="28">
        <f>(15+15.8)/2</f>
        <v>15.4</v>
      </c>
      <c r="AE28" s="35">
        <v>13</v>
      </c>
      <c r="AF28" s="6">
        <v>20.7</v>
      </c>
      <c r="AG28" s="30">
        <f t="shared" si="2"/>
        <v>2.4000000000000004</v>
      </c>
      <c r="AH28" s="30">
        <f t="shared" si="3"/>
        <v>5.2999999999999989</v>
      </c>
      <c r="AI28" s="8"/>
      <c r="AJ28" s="38">
        <f t="shared" si="4"/>
        <v>-7.3841542465365588</v>
      </c>
      <c r="AK28" s="14"/>
    </row>
    <row r="29" spans="1:37">
      <c r="A29" s="1" t="s">
        <v>29</v>
      </c>
      <c r="B29" s="1" t="s">
        <v>94</v>
      </c>
      <c r="C29" s="11">
        <v>123.52909274797187</v>
      </c>
      <c r="D29" s="11">
        <v>119.384299870848</v>
      </c>
      <c r="E29" s="11">
        <v>125.1243487875104</v>
      </c>
      <c r="F29" s="11">
        <v>130.63976464184145</v>
      </c>
      <c r="G29" s="11">
        <v>126.28201531076239</v>
      </c>
      <c r="H29" s="11">
        <v>121.27439833785752</v>
      </c>
      <c r="I29" s="11">
        <v>125.13521542121745</v>
      </c>
      <c r="J29" s="11">
        <v>127.59061124868633</v>
      </c>
      <c r="K29" s="11">
        <v>122.9424603323142</v>
      </c>
      <c r="L29" s="11">
        <v>121.8313163051903</v>
      </c>
      <c r="M29" s="11">
        <v>122.1478627353118</v>
      </c>
      <c r="N29" s="11">
        <v>128.01485250333951</v>
      </c>
      <c r="O29" s="11">
        <v>119.7256120836865</v>
      </c>
      <c r="P29" s="11">
        <v>123.22769455161922</v>
      </c>
      <c r="Q29" s="11">
        <v>125.35610548970887</v>
      </c>
      <c r="R29" s="11">
        <v>123.69275346827462</v>
      </c>
      <c r="S29" s="11">
        <v>124.18506735480797</v>
      </c>
      <c r="T29" s="11">
        <v>127.74919118131943</v>
      </c>
      <c r="U29" s="11"/>
      <c r="V29" s="4"/>
      <c r="W29" s="17">
        <f t="shared" si="5"/>
        <v>124.32403679845932</v>
      </c>
      <c r="X29" s="18">
        <f t="shared" si="6"/>
        <v>2.9908366642665514</v>
      </c>
      <c r="Y29" s="5"/>
      <c r="Z29" s="27" t="s">
        <v>29</v>
      </c>
      <c r="AA29" s="27"/>
      <c r="AB29" s="27"/>
      <c r="AC29" s="27"/>
      <c r="AD29" s="28">
        <v>123</v>
      </c>
      <c r="AE29" s="27">
        <v>102</v>
      </c>
      <c r="AF29" s="29">
        <v>170</v>
      </c>
      <c r="AG29" s="31">
        <f t="shared" si="2"/>
        <v>21</v>
      </c>
      <c r="AH29" s="31">
        <f t="shared" si="3"/>
        <v>47</v>
      </c>
      <c r="AI29" s="8"/>
      <c r="AJ29" s="38">
        <f t="shared" si="4"/>
        <v>1.0764526816742421</v>
      </c>
      <c r="AK29" s="14"/>
    </row>
    <row r="30" spans="1:37">
      <c r="A30" s="1" t="s">
        <v>30</v>
      </c>
      <c r="B30" s="1" t="s">
        <v>94</v>
      </c>
      <c r="C30" s="3">
        <v>13.064225300871232</v>
      </c>
      <c r="D30" s="3">
        <v>13.373414174166463</v>
      </c>
      <c r="E30" s="3">
        <v>13.349277045359624</v>
      </c>
      <c r="F30" s="3">
        <v>13.878398462327134</v>
      </c>
      <c r="G30" s="3">
        <v>13.526402734586638</v>
      </c>
      <c r="H30" s="3">
        <v>13.305802172798469</v>
      </c>
      <c r="I30" s="3">
        <v>13.524829215041599</v>
      </c>
      <c r="J30" s="3">
        <v>13.790687367709893</v>
      </c>
      <c r="K30" s="3">
        <v>13.855061856180837</v>
      </c>
      <c r="L30" s="3">
        <v>13.128798578269711</v>
      </c>
      <c r="M30" s="3">
        <v>13.607793859702788</v>
      </c>
      <c r="N30" s="3">
        <v>13.690483327434448</v>
      </c>
      <c r="O30" s="3">
        <v>13.032754652449677</v>
      </c>
      <c r="P30" s="3">
        <v>12.928964503763744</v>
      </c>
      <c r="Q30" s="3">
        <v>13.456038895165111</v>
      </c>
      <c r="R30" s="3">
        <v>13.258647133833513</v>
      </c>
      <c r="S30" s="3">
        <v>13.565472336307119</v>
      </c>
      <c r="T30" s="3">
        <v>13.715687956816168</v>
      </c>
      <c r="U30" s="3"/>
      <c r="V30" s="4"/>
      <c r="W30" s="17">
        <f t="shared" si="5"/>
        <v>13.447374420710231</v>
      </c>
      <c r="X30" s="18">
        <f t="shared" si="6"/>
        <v>0.28826622325236001</v>
      </c>
      <c r="Y30" s="5"/>
      <c r="Z30" s="27" t="s">
        <v>30</v>
      </c>
      <c r="AA30" s="27"/>
      <c r="AB30" s="27"/>
      <c r="AC30" s="27"/>
      <c r="AD30" s="31">
        <f>(13.1+13.2)/2</f>
        <v>13.149999999999999</v>
      </c>
      <c r="AE30" s="36">
        <v>8</v>
      </c>
      <c r="AF30" s="6">
        <v>15.75</v>
      </c>
      <c r="AG30" s="30">
        <f t="shared" si="2"/>
        <v>5.1499999999999986</v>
      </c>
      <c r="AH30" s="30">
        <f t="shared" si="3"/>
        <v>2.6000000000000014</v>
      </c>
      <c r="AI30" s="8"/>
      <c r="AJ30" s="38">
        <f t="shared" si="4"/>
        <v>2.2614024388610834</v>
      </c>
      <c r="AK30" s="14"/>
    </row>
    <row r="31" spans="1:37">
      <c r="A31" s="1" t="s">
        <v>33</v>
      </c>
      <c r="B31" s="1" t="s">
        <v>94</v>
      </c>
      <c r="C31" s="3">
        <v>22.419041879840663</v>
      </c>
      <c r="D31" s="3">
        <v>23.808876032516611</v>
      </c>
      <c r="E31" s="3">
        <v>21.798670034104919</v>
      </c>
      <c r="F31" s="3">
        <v>23.34334921185356</v>
      </c>
      <c r="G31" s="3">
        <v>22.740236948242874</v>
      </c>
      <c r="H31" s="3">
        <v>22.65759913993509</v>
      </c>
      <c r="I31" s="3">
        <v>23.420881584817799</v>
      </c>
      <c r="J31" s="3">
        <v>24.679924499965548</v>
      </c>
      <c r="K31" s="3">
        <v>23.536667276265149</v>
      </c>
      <c r="L31" s="3">
        <v>21.43459663541406</v>
      </c>
      <c r="M31" s="3">
        <v>20.620537182074155</v>
      </c>
      <c r="N31" s="3">
        <v>22.977154194794792</v>
      </c>
      <c r="O31" s="3">
        <v>22.281754589441796</v>
      </c>
      <c r="P31" s="3">
        <v>19.679367095578286</v>
      </c>
      <c r="Q31" s="3">
        <v>22.117031856881297</v>
      </c>
      <c r="R31" s="3">
        <v>22.073037882136294</v>
      </c>
      <c r="S31" s="3">
        <v>23.113166411805921</v>
      </c>
      <c r="T31" s="3">
        <v>24.753916236720855</v>
      </c>
      <c r="U31" s="3"/>
      <c r="V31" s="4"/>
      <c r="W31" s="17">
        <f t="shared" si="5"/>
        <v>22.636433816243869</v>
      </c>
      <c r="X31" s="18">
        <f t="shared" si="6"/>
        <v>1.2840399404585709</v>
      </c>
      <c r="Y31" s="5"/>
      <c r="Z31" s="27" t="s">
        <v>33</v>
      </c>
      <c r="AA31" s="27"/>
      <c r="AB31" s="27"/>
      <c r="AC31" s="27"/>
      <c r="AD31" s="31">
        <f>(21.6+21.7)/2</f>
        <v>21.65</v>
      </c>
      <c r="AE31" s="27">
        <v>19.399999999999999</v>
      </c>
      <c r="AF31" s="6">
        <v>29</v>
      </c>
      <c r="AG31" s="30">
        <f t="shared" si="2"/>
        <v>2.25</v>
      </c>
      <c r="AH31" s="30">
        <f t="shared" si="3"/>
        <v>7.3500000000000014</v>
      </c>
      <c r="AI31" s="8"/>
      <c r="AJ31" s="38">
        <f t="shared" si="4"/>
        <v>4.5562762875005571</v>
      </c>
      <c r="AK31" s="14"/>
    </row>
    <row r="32" spans="1:37">
      <c r="A32" s="1" t="s">
        <v>34</v>
      </c>
      <c r="B32" s="1" t="s">
        <v>94</v>
      </c>
      <c r="C32" s="10">
        <v>5.6113013005917738</v>
      </c>
      <c r="D32" s="10">
        <v>5.6841695739226843</v>
      </c>
      <c r="E32" s="10">
        <v>5.5550886386263372</v>
      </c>
      <c r="F32" s="10">
        <v>5.3983161144030456</v>
      </c>
      <c r="G32" s="10">
        <v>4.8717944117425631</v>
      </c>
      <c r="H32" s="10">
        <v>5.7820104560082068</v>
      </c>
      <c r="I32" s="10">
        <v>5.8288501321276991</v>
      </c>
      <c r="J32" s="10">
        <v>6.7959954003540854</v>
      </c>
      <c r="K32" s="10">
        <v>5.9772174209112778</v>
      </c>
      <c r="L32" s="10">
        <v>5.7670035907119441</v>
      </c>
      <c r="M32" s="10">
        <v>5.9810600199083543</v>
      </c>
      <c r="N32" s="10">
        <v>5.4682886165477846</v>
      </c>
      <c r="O32" s="10">
        <v>5.7480467709377185</v>
      </c>
      <c r="P32" s="10">
        <v>5.9991207024013198</v>
      </c>
      <c r="Q32" s="10">
        <v>5.479401104724916</v>
      </c>
      <c r="R32" s="10">
        <v>6.0619805813966154</v>
      </c>
      <c r="S32" s="10">
        <v>5.1157696632147136</v>
      </c>
      <c r="T32" s="10">
        <v>6.1692635623665542</v>
      </c>
      <c r="U32" s="10"/>
      <c r="V32" s="4"/>
      <c r="W32" s="18">
        <f t="shared" si="5"/>
        <v>5.7385932256054213</v>
      </c>
      <c r="X32" s="18">
        <f t="shared" si="6"/>
        <v>0.42362663272489637</v>
      </c>
      <c r="Y32" s="5"/>
      <c r="Z32" s="27" t="s">
        <v>34</v>
      </c>
      <c r="AA32" s="27"/>
      <c r="AB32" s="27"/>
      <c r="AC32" s="27"/>
      <c r="AD32" s="30">
        <f>(5.54+5.55)/2</f>
        <v>5.5449999999999999</v>
      </c>
      <c r="AE32" s="27">
        <v>4.88</v>
      </c>
      <c r="AF32" s="6">
        <v>10</v>
      </c>
      <c r="AG32" s="30">
        <f t="shared" si="2"/>
        <v>0.66500000000000004</v>
      </c>
      <c r="AH32" s="30">
        <f t="shared" si="3"/>
        <v>4.4550000000000001</v>
      </c>
      <c r="AI32" s="8"/>
      <c r="AJ32" s="38">
        <f t="shared" si="4"/>
        <v>3.4913115528479954</v>
      </c>
      <c r="AK32" s="14"/>
    </row>
    <row r="33" spans="1:37">
      <c r="A33" s="1" t="s">
        <v>35</v>
      </c>
      <c r="B33" s="1" t="s">
        <v>94</v>
      </c>
      <c r="C33" s="10">
        <v>2.0080282826283575</v>
      </c>
      <c r="D33" s="10">
        <v>1.8953114674490583</v>
      </c>
      <c r="E33" s="10">
        <v>2.2098197819202854</v>
      </c>
      <c r="F33" s="10">
        <v>2.0116824750448861</v>
      </c>
      <c r="G33" s="10">
        <v>1.8771276320413399</v>
      </c>
      <c r="H33" s="10">
        <v>2.0877451792179893</v>
      </c>
      <c r="I33" s="10">
        <v>2.0207129397605774</v>
      </c>
      <c r="J33" s="10">
        <v>2.0134043586877897</v>
      </c>
      <c r="K33" s="10">
        <v>1.7867145143332499</v>
      </c>
      <c r="L33" s="10">
        <v>1.7583560066561712</v>
      </c>
      <c r="M33" s="10">
        <v>2.1477544827403303</v>
      </c>
      <c r="N33" s="10">
        <v>2.0653991784723433</v>
      </c>
      <c r="O33" s="10">
        <v>1.8437131678294114</v>
      </c>
      <c r="P33" s="10">
        <v>2.0276128237722082</v>
      </c>
      <c r="Q33" s="10">
        <v>2.0248449560945327</v>
      </c>
      <c r="R33" s="10">
        <v>2.0726185607441381</v>
      </c>
      <c r="S33" s="10">
        <v>1.981449248921658</v>
      </c>
      <c r="T33" s="10">
        <v>2.1583345173140986</v>
      </c>
      <c r="U33" s="10"/>
      <c r="V33" s="4"/>
      <c r="W33" s="18">
        <f t="shared" si="5"/>
        <v>1.9994794207571347</v>
      </c>
      <c r="X33" s="18">
        <f t="shared" si="6"/>
        <v>0.12486917854078365</v>
      </c>
      <c r="Y33" s="5"/>
      <c r="Z33" s="27" t="s">
        <v>35</v>
      </c>
      <c r="AA33" s="27"/>
      <c r="AB33" s="27"/>
      <c r="AC33" s="27"/>
      <c r="AD33" s="30">
        <f>(1.92+1.95)/2</f>
        <v>1.9350000000000001</v>
      </c>
      <c r="AE33" s="27">
        <v>1.73</v>
      </c>
      <c r="AF33" s="7">
        <v>2.1800000000000002</v>
      </c>
      <c r="AG33" s="30">
        <f t="shared" si="2"/>
        <v>0.20500000000000007</v>
      </c>
      <c r="AH33" s="30">
        <f t="shared" si="3"/>
        <v>0.24500000000000011</v>
      </c>
      <c r="AI33" s="8"/>
      <c r="AJ33" s="38">
        <f t="shared" si="4"/>
        <v>3.3322698065702658</v>
      </c>
      <c r="AK33" s="14"/>
    </row>
    <row r="34" spans="1:37">
      <c r="A34" s="1" t="s">
        <v>41</v>
      </c>
      <c r="B34" s="1" t="s">
        <v>94</v>
      </c>
      <c r="C34" s="10">
        <v>0.33981927051430433</v>
      </c>
      <c r="D34" s="10">
        <v>0.27543019063888841</v>
      </c>
      <c r="E34" s="10">
        <v>0.33154651605677249</v>
      </c>
      <c r="F34" s="10">
        <v>0.35785968583020361</v>
      </c>
      <c r="G34" s="10">
        <v>0.32152496237426881</v>
      </c>
      <c r="H34" s="10">
        <v>0.31968850484790856</v>
      </c>
      <c r="I34" s="10">
        <v>0.39288595257040049</v>
      </c>
      <c r="J34" s="10">
        <v>0.39193142217236088</v>
      </c>
      <c r="K34" s="10">
        <v>0.3424411550462319</v>
      </c>
      <c r="L34" s="10">
        <v>0.3149177419300368</v>
      </c>
      <c r="M34" s="10">
        <v>0.31386264550446896</v>
      </c>
      <c r="N34" s="10">
        <v>0.33492971087921725</v>
      </c>
      <c r="O34" s="10">
        <v>0.37387854463179082</v>
      </c>
      <c r="P34" s="10">
        <v>0.35778859227197823</v>
      </c>
      <c r="Q34" s="10">
        <v>0.35253547381504846</v>
      </c>
      <c r="R34" s="10">
        <v>0.33412401369603706</v>
      </c>
      <c r="S34" s="10">
        <v>0.31428775292254396</v>
      </c>
      <c r="T34" s="10">
        <v>0.35268298144646687</v>
      </c>
      <c r="U34" s="10"/>
      <c r="V34" s="4"/>
      <c r="W34" s="18">
        <f t="shared" si="5"/>
        <v>0.34011861761938489</v>
      </c>
      <c r="X34" s="18">
        <f t="shared" si="6"/>
        <v>2.9334712139262979E-2</v>
      </c>
      <c r="Y34" s="5"/>
      <c r="Z34" s="27" t="s">
        <v>41</v>
      </c>
      <c r="AA34" s="27"/>
      <c r="AB34" s="27"/>
      <c r="AC34" s="27"/>
      <c r="AD34" s="30">
        <f>(0.331+0.336)/2</f>
        <v>0.33350000000000002</v>
      </c>
      <c r="AE34" s="27">
        <v>0.27</v>
      </c>
      <c r="AF34" s="7">
        <v>0.38</v>
      </c>
      <c r="AG34" s="30">
        <f t="shared" si="2"/>
        <v>6.3500000000000001E-2</v>
      </c>
      <c r="AH34" s="30">
        <f t="shared" si="3"/>
        <v>4.6499999999999986E-2</v>
      </c>
      <c r="AI34" s="8"/>
      <c r="AJ34" s="38">
        <f t="shared" si="4"/>
        <v>1.9845929893208005</v>
      </c>
      <c r="AK34" s="14"/>
    </row>
    <row r="35" spans="1:37">
      <c r="A35" s="1" t="s">
        <v>42</v>
      </c>
      <c r="B35" s="1" t="s">
        <v>94</v>
      </c>
      <c r="C35" s="10">
        <v>2.297185177426134</v>
      </c>
      <c r="D35" s="10">
        <v>2.0155187289752128</v>
      </c>
      <c r="E35" s="10">
        <v>2.1770393078946864</v>
      </c>
      <c r="F35" s="10">
        <v>1.952413601023643</v>
      </c>
      <c r="G35" s="10">
        <v>2.4555177175123251</v>
      </c>
      <c r="H35" s="10">
        <v>2.2514584498521506</v>
      </c>
      <c r="I35" s="10">
        <v>2.0726295241343058</v>
      </c>
      <c r="J35" s="10">
        <v>2.3717737059940669</v>
      </c>
      <c r="K35" s="10">
        <v>2.2501943025619968</v>
      </c>
      <c r="L35" s="10">
        <v>2.4142223633467159</v>
      </c>
      <c r="M35" s="10">
        <v>1.8375347659735224</v>
      </c>
      <c r="N35" s="10">
        <v>1.9975547769768276</v>
      </c>
      <c r="O35" s="10">
        <v>2.5263910873589133</v>
      </c>
      <c r="P35" s="10">
        <v>2.2732968599206091</v>
      </c>
      <c r="Q35" s="10">
        <v>2.1164525841269208</v>
      </c>
      <c r="R35" s="10">
        <v>1.9436237458800427</v>
      </c>
      <c r="S35" s="10">
        <v>1.8709802185566604</v>
      </c>
      <c r="T35" s="10">
        <v>2.3862212448449074</v>
      </c>
      <c r="U35" s="10"/>
      <c r="V35" s="4"/>
      <c r="W35" s="18">
        <f t="shared" si="5"/>
        <v>2.1783337867977575</v>
      </c>
      <c r="X35" s="18">
        <f t="shared" si="6"/>
        <v>0.21127655253469296</v>
      </c>
      <c r="Y35" s="5"/>
      <c r="Z35" s="27" t="s">
        <v>42</v>
      </c>
      <c r="AA35" s="27"/>
      <c r="AB35" s="27"/>
      <c r="AC35" s="27"/>
      <c r="AD35" s="30">
        <f>(2.1+2.13)/2</f>
        <v>2.1150000000000002</v>
      </c>
      <c r="AE35" s="27">
        <v>1.76</v>
      </c>
      <c r="AF35" s="7">
        <v>2.3199999999999998</v>
      </c>
      <c r="AG35" s="30">
        <f t="shared" si="2"/>
        <v>0.3550000000000002</v>
      </c>
      <c r="AH35" s="30">
        <f t="shared" si="3"/>
        <v>0.20499999999999963</v>
      </c>
      <c r="AI35" s="8"/>
      <c r="AJ35" s="38">
        <f t="shared" si="4"/>
        <v>2.9945052859459689</v>
      </c>
      <c r="AK35" s="14"/>
    </row>
    <row r="36" spans="1:37">
      <c r="A36" s="1" t="s">
        <v>43</v>
      </c>
      <c r="B36" s="1" t="s">
        <v>94</v>
      </c>
      <c r="C36" s="10">
        <v>0.29323346426758617</v>
      </c>
      <c r="D36" s="10">
        <v>0.25524396302368368</v>
      </c>
      <c r="E36" s="10">
        <v>0.31795366023166427</v>
      </c>
      <c r="F36" s="10">
        <v>0.28291586047407175</v>
      </c>
      <c r="G36" s="10">
        <v>0.36750343886281378</v>
      </c>
      <c r="H36" s="10">
        <v>0.28532047683475475</v>
      </c>
      <c r="I36" s="10">
        <v>0.2514628960848852</v>
      </c>
      <c r="J36" s="10">
        <v>0.26444120181362429</v>
      </c>
      <c r="K36" s="10">
        <v>0.28540031337814259</v>
      </c>
      <c r="L36" s="10">
        <v>0.27716495648717204</v>
      </c>
      <c r="M36" s="10">
        <v>0.3015063908707315</v>
      </c>
      <c r="N36" s="10">
        <v>0.30721009407984606</v>
      </c>
      <c r="O36" s="10">
        <v>0.31456787458220742</v>
      </c>
      <c r="P36" s="10">
        <v>0.34171666322984573</v>
      </c>
      <c r="Q36" s="10">
        <v>0.2684631442989211</v>
      </c>
      <c r="R36" s="10">
        <v>0.27800412209340336</v>
      </c>
      <c r="S36" s="10">
        <v>0.31700290474482212</v>
      </c>
      <c r="T36" s="10">
        <v>0.35256490238012195</v>
      </c>
      <c r="U36" s="10"/>
      <c r="V36" s="4"/>
      <c r="W36" s="18">
        <f t="shared" si="5"/>
        <v>0.29787090709657205</v>
      </c>
      <c r="X36" s="18">
        <f t="shared" si="6"/>
        <v>3.2761064150541544E-2</v>
      </c>
      <c r="Y36" s="5"/>
      <c r="Z36" s="27" t="s">
        <v>43</v>
      </c>
      <c r="AA36" s="27"/>
      <c r="AB36" s="27"/>
      <c r="AC36" s="27"/>
      <c r="AD36" s="30">
        <f>(0.285+0.296)/2</f>
        <v>0.29049999999999998</v>
      </c>
      <c r="AE36" s="27">
        <v>0.23</v>
      </c>
      <c r="AF36" s="7">
        <v>0.35</v>
      </c>
      <c r="AG36" s="30">
        <f t="shared" si="2"/>
        <v>6.049999999999997E-2</v>
      </c>
      <c r="AH36" s="30">
        <f t="shared" si="3"/>
        <v>5.9499999999999997E-2</v>
      </c>
      <c r="AI36" s="8"/>
      <c r="AJ36" s="38">
        <f t="shared" si="4"/>
        <v>2.5373174170643944</v>
      </c>
      <c r="AK36" s="14"/>
    </row>
    <row r="37" spans="1:37">
      <c r="A37" s="1" t="s">
        <v>44</v>
      </c>
      <c r="B37" s="1" t="s">
        <v>94</v>
      </c>
      <c r="C37" s="10">
        <v>3.3812493900365141</v>
      </c>
      <c r="D37" s="10">
        <v>4.3027669114529115</v>
      </c>
      <c r="E37" s="10">
        <v>3.9756531699725204</v>
      </c>
      <c r="F37" s="10">
        <v>4.1173561721460343</v>
      </c>
      <c r="G37" s="10">
        <v>3.6841216114400486</v>
      </c>
      <c r="H37" s="10">
        <v>3.8905749454043126</v>
      </c>
      <c r="I37" s="10">
        <v>4.0071853906774191</v>
      </c>
      <c r="J37" s="10">
        <v>4.0685812742865872</v>
      </c>
      <c r="K37" s="10">
        <v>3.8848339785869546</v>
      </c>
      <c r="L37" s="10">
        <v>3.6161936853661465</v>
      </c>
      <c r="M37" s="10">
        <v>3.3866588196017298</v>
      </c>
      <c r="N37" s="10">
        <v>3.6554299628827622</v>
      </c>
      <c r="O37" s="10">
        <v>3.4404213164312374</v>
      </c>
      <c r="P37" s="10">
        <v>3.7635227685949011</v>
      </c>
      <c r="Q37" s="10">
        <v>3.7711761461066686</v>
      </c>
      <c r="R37" s="10">
        <v>3.935542149487977</v>
      </c>
      <c r="S37" s="10">
        <v>4.2400171533742368</v>
      </c>
      <c r="T37" s="10">
        <v>3.6949954033205117</v>
      </c>
      <c r="U37" s="10"/>
      <c r="V37" s="4"/>
      <c r="W37" s="18">
        <f t="shared" si="5"/>
        <v>3.8231266805094162</v>
      </c>
      <c r="X37" s="18">
        <f t="shared" si="6"/>
        <v>0.27375017645483862</v>
      </c>
      <c r="Y37" s="5"/>
      <c r="Z37" s="27" t="s">
        <v>44</v>
      </c>
      <c r="AA37" s="27"/>
      <c r="AB37" s="27"/>
      <c r="AC37" s="27"/>
      <c r="AD37" s="30">
        <f>(3.93+4.14)/2</f>
        <v>4.0350000000000001</v>
      </c>
      <c r="AE37" s="27">
        <v>3.22</v>
      </c>
      <c r="AF37" s="7">
        <v>5.7</v>
      </c>
      <c r="AG37" s="30">
        <f t="shared" si="2"/>
        <v>0.81499999999999995</v>
      </c>
      <c r="AH37" s="30">
        <f t="shared" si="3"/>
        <v>1.665</v>
      </c>
      <c r="AI37" s="8"/>
      <c r="AJ37" s="38">
        <f t="shared" si="4"/>
        <v>-5.2508877197170749</v>
      </c>
      <c r="AK37" s="14"/>
    </row>
    <row r="38" spans="1:37">
      <c r="A38" s="1" t="s">
        <v>45</v>
      </c>
      <c r="B38" s="1" t="s">
        <v>94</v>
      </c>
      <c r="C38" s="10">
        <v>0.83147671530803158</v>
      </c>
      <c r="D38" s="10">
        <v>0.88829358615823406</v>
      </c>
      <c r="E38" s="10">
        <v>0.92491786266833043</v>
      </c>
      <c r="F38" s="10">
        <v>0.93771380368856649</v>
      </c>
      <c r="G38" s="10">
        <v>0.90317020509993184</v>
      </c>
      <c r="H38" s="10">
        <v>0.90925420651666944</v>
      </c>
      <c r="I38" s="10">
        <v>1.0135724498593064</v>
      </c>
      <c r="J38" s="10">
        <v>0.9578798822261434</v>
      </c>
      <c r="K38" s="10">
        <v>0.88610575626765931</v>
      </c>
      <c r="L38" s="10">
        <v>0.83777810945059106</v>
      </c>
      <c r="M38" s="10">
        <v>0.85283818373667963</v>
      </c>
      <c r="N38" s="10">
        <v>0.89083571852722354</v>
      </c>
      <c r="O38" s="10">
        <v>0.89090319661193507</v>
      </c>
      <c r="P38" s="10">
        <v>0.95158771386891239</v>
      </c>
      <c r="Q38" s="10">
        <v>0.85959866819815101</v>
      </c>
      <c r="R38" s="10">
        <v>0.99272748309578729</v>
      </c>
      <c r="S38" s="10">
        <v>0.88975101841828974</v>
      </c>
      <c r="T38" s="10">
        <v>0.92724502184400515</v>
      </c>
      <c r="U38" s="10"/>
      <c r="V38" s="4"/>
      <c r="W38" s="18">
        <f t="shared" si="5"/>
        <v>0.90809164341913595</v>
      </c>
      <c r="X38" s="18">
        <f t="shared" si="6"/>
        <v>4.9844761952014711E-2</v>
      </c>
      <c r="Y38" s="5"/>
      <c r="Z38" s="27" t="s">
        <v>45</v>
      </c>
      <c r="AA38" s="27"/>
      <c r="AB38" s="27"/>
      <c r="AC38" s="27"/>
      <c r="AD38" s="30">
        <f>(0.961+0.97)/2</f>
        <v>0.96550000000000002</v>
      </c>
      <c r="AE38" s="27">
        <v>0.83</v>
      </c>
      <c r="AF38" s="7">
        <v>1.1000000000000001</v>
      </c>
      <c r="AG38" s="30">
        <f t="shared" si="2"/>
        <v>0.13550000000000006</v>
      </c>
      <c r="AH38" s="30">
        <f t="shared" si="3"/>
        <v>0.13450000000000006</v>
      </c>
      <c r="AI38" s="8"/>
      <c r="AJ38" s="38">
        <f t="shared" si="4"/>
        <v>-5.9459716810837984</v>
      </c>
      <c r="AK38" s="14"/>
    </row>
    <row r="39" spans="1:37">
      <c r="A39" s="1" t="s">
        <v>48</v>
      </c>
      <c r="B39" s="1" t="s">
        <v>94</v>
      </c>
      <c r="C39" s="10">
        <v>1.0708813859365918</v>
      </c>
      <c r="D39" s="10">
        <v>0.92773911103779205</v>
      </c>
      <c r="E39" s="10">
        <v>1.0094918497322458</v>
      </c>
      <c r="F39" s="10">
        <v>1.0506511457477214</v>
      </c>
      <c r="G39" s="10">
        <v>0.99520593976923577</v>
      </c>
      <c r="H39" s="10">
        <v>1.1074016084362548</v>
      </c>
      <c r="I39" s="10">
        <v>0.89860775897978984</v>
      </c>
      <c r="J39" s="10">
        <v>0.9867686969135876</v>
      </c>
      <c r="K39" s="10">
        <v>0.97894761583674783</v>
      </c>
      <c r="L39" s="10">
        <v>0.94111316625560992</v>
      </c>
      <c r="M39" s="10">
        <v>0.91160556965108186</v>
      </c>
      <c r="N39" s="10">
        <v>1.0407119913859089</v>
      </c>
      <c r="O39" s="10">
        <v>1.0684156637251148</v>
      </c>
      <c r="P39" s="10">
        <v>0.99101053269830131</v>
      </c>
      <c r="Q39" s="10">
        <v>0.97525858958031075</v>
      </c>
      <c r="R39" s="10">
        <v>1.0499049894226149</v>
      </c>
      <c r="S39" s="10">
        <v>0.96781794446347313</v>
      </c>
      <c r="T39" s="10">
        <v>1.0149794858006926</v>
      </c>
      <c r="U39" s="10"/>
      <c r="V39" s="4"/>
      <c r="W39" s="18">
        <f t="shared" si="5"/>
        <v>0.99925072474294874</v>
      </c>
      <c r="X39" s="18">
        <f t="shared" si="6"/>
        <v>5.8112978177058051E-2</v>
      </c>
      <c r="Y39" s="5"/>
      <c r="Z39" s="27" t="s">
        <v>48</v>
      </c>
      <c r="AA39" s="27"/>
      <c r="AB39" s="27"/>
      <c r="AC39" s="27"/>
      <c r="AD39" s="30">
        <f>(1.02+1.03)/2</f>
        <v>1.0249999999999999</v>
      </c>
      <c r="AE39" s="36">
        <v>0.8</v>
      </c>
      <c r="AF39" s="7">
        <v>1.47</v>
      </c>
      <c r="AG39" s="30">
        <f t="shared" si="2"/>
        <v>0.22499999999999987</v>
      </c>
      <c r="AH39" s="30">
        <f t="shared" si="3"/>
        <v>0.44500000000000006</v>
      </c>
      <c r="AI39" s="8"/>
      <c r="AJ39" s="38">
        <f t="shared" si="4"/>
        <v>-2.5121244153220661</v>
      </c>
      <c r="AK39" s="14"/>
    </row>
    <row r="40" spans="1:37">
      <c r="A40" s="12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24"/>
      <c r="X40" s="19"/>
      <c r="Y40" s="13"/>
      <c r="Z40" s="27"/>
      <c r="AA40" s="27"/>
      <c r="AB40" s="27"/>
      <c r="AC40" s="27"/>
      <c r="AD40" s="27"/>
      <c r="AE40" s="27"/>
      <c r="AF40" s="26"/>
      <c r="AG40" s="27"/>
      <c r="AH40" s="27"/>
      <c r="AI40" s="13"/>
      <c r="AJ40" s="38"/>
      <c r="AK40" s="13"/>
    </row>
    <row r="41" spans="1:37">
      <c r="A41" s="1" t="s">
        <v>10</v>
      </c>
      <c r="B41" s="1" t="s">
        <v>94</v>
      </c>
      <c r="C41" s="10">
        <v>5.7868730941670377</v>
      </c>
      <c r="D41" s="10">
        <v>5.6164147614986151</v>
      </c>
      <c r="E41" s="10">
        <v>5.3931521182224484</v>
      </c>
      <c r="F41" s="10">
        <v>5.6874631927339694</v>
      </c>
      <c r="G41" s="10">
        <v>6.3936736306731774</v>
      </c>
      <c r="H41" s="10">
        <v>5.6053874800179662</v>
      </c>
      <c r="I41" s="10">
        <v>5.784488881265637</v>
      </c>
      <c r="J41" s="10">
        <v>5.3973334451208697</v>
      </c>
      <c r="K41" s="10">
        <v>5.4695566447815587</v>
      </c>
      <c r="L41" s="10">
        <v>5.4886217145507947</v>
      </c>
      <c r="M41" s="10">
        <v>5.603003245395656</v>
      </c>
      <c r="N41" s="10">
        <v>6.0211154027351643</v>
      </c>
      <c r="O41" s="10">
        <v>5.4880794543334517</v>
      </c>
      <c r="P41" s="10">
        <v>5.8644331655920361</v>
      </c>
      <c r="Q41" s="10">
        <v>6.0173356404158609</v>
      </c>
      <c r="R41" s="10">
        <v>5.8453251166235436</v>
      </c>
      <c r="S41" s="10">
        <v>5.106554514120857</v>
      </c>
      <c r="T41" s="10">
        <v>5.4126512742001269</v>
      </c>
      <c r="U41" s="10"/>
      <c r="V41" s="4"/>
      <c r="W41" s="18">
        <f>AVERAGE(C41:T41)</f>
        <v>5.6656368209138215</v>
      </c>
      <c r="X41" s="18">
        <f>STDEV(C41:T41)</f>
        <v>0.2985549977090618</v>
      </c>
      <c r="Y41" s="5"/>
      <c r="Z41" s="27" t="s">
        <v>10</v>
      </c>
      <c r="AA41" s="27"/>
      <c r="AB41" s="27"/>
      <c r="AC41" s="27"/>
      <c r="AD41" s="28">
        <f>(5.1+5.4)/2</f>
        <v>5.25</v>
      </c>
      <c r="AE41" s="27">
        <v>3.76</v>
      </c>
      <c r="AF41" s="7">
        <v>6.22</v>
      </c>
      <c r="AG41" s="28">
        <f>AD41-AE41</f>
        <v>1.4900000000000002</v>
      </c>
      <c r="AH41" s="28">
        <f>AF41-AD41</f>
        <v>0.96999999999999975</v>
      </c>
      <c r="AI41" s="8"/>
      <c r="AJ41" s="38">
        <f>(W41-AD41)/AD41*100</f>
        <v>7.9168918269299322</v>
      </c>
      <c r="AK41" s="14"/>
    </row>
    <row r="42" spans="1:37">
      <c r="A42" s="1" t="s">
        <v>11</v>
      </c>
      <c r="B42" s="1" t="s">
        <v>94</v>
      </c>
      <c r="C42" s="10">
        <v>0.87442137474857895</v>
      </c>
      <c r="D42" s="10">
        <v>0.75027343951971603</v>
      </c>
      <c r="E42" s="10">
        <v>1.1426230324390469</v>
      </c>
      <c r="F42" s="10">
        <v>0.68637987284330071</v>
      </c>
      <c r="G42" s="10">
        <v>0.35130133928249324</v>
      </c>
      <c r="H42" s="10">
        <v>0.89992798155168041</v>
      </c>
      <c r="I42" s="10">
        <v>0.65736187562886006</v>
      </c>
      <c r="J42" s="10">
        <v>0.73242730525176403</v>
      </c>
      <c r="K42" s="10">
        <v>0.96616528397163759</v>
      </c>
      <c r="L42" s="10">
        <v>1.07187785634893</v>
      </c>
      <c r="M42" s="10">
        <v>0.70147536042555003</v>
      </c>
      <c r="N42" s="10">
        <v>0.97162846993751606</v>
      </c>
      <c r="O42" s="10">
        <v>0.77305666816224083</v>
      </c>
      <c r="P42" s="10">
        <v>0.87435644645434285</v>
      </c>
      <c r="Q42" s="10">
        <v>1.0254243798742966</v>
      </c>
      <c r="R42" s="10">
        <v>1.3936616062334239</v>
      </c>
      <c r="S42" s="10">
        <v>0.7965219720451493</v>
      </c>
      <c r="T42" s="10">
        <v>0.82077931251814407</v>
      </c>
      <c r="U42" s="10"/>
      <c r="V42" s="4"/>
      <c r="W42" s="18">
        <f>AVERAGE(C42:T42)</f>
        <v>0.86053686540203722</v>
      </c>
      <c r="X42" s="18">
        <f>STDEV(C42:T42)</f>
        <v>0.22481563487054326</v>
      </c>
      <c r="Y42" s="5"/>
      <c r="Z42" s="27" t="s">
        <v>11</v>
      </c>
      <c r="AA42" s="27"/>
      <c r="AB42" s="27"/>
      <c r="AC42" s="27"/>
      <c r="AD42" s="33">
        <f>(0.88+0.96)/2</f>
        <v>0.91999999999999993</v>
      </c>
      <c r="AE42" s="27">
        <v>0.52</v>
      </c>
      <c r="AF42" s="7">
        <v>1.33</v>
      </c>
      <c r="AG42" s="33">
        <f>AD42-AE42</f>
        <v>0.39999999999999991</v>
      </c>
      <c r="AH42" s="33">
        <f>AF42-AD42</f>
        <v>0.41000000000000014</v>
      </c>
      <c r="AI42" s="8"/>
      <c r="AJ42" s="38">
        <f>(W42-AD42)/AD42*100</f>
        <v>-6.4633841954307298</v>
      </c>
      <c r="AK42" s="14"/>
    </row>
    <row r="43" spans="1:37">
      <c r="A43" s="1" t="s">
        <v>12</v>
      </c>
      <c r="B43" s="1" t="s">
        <v>94</v>
      </c>
      <c r="C43" s="10">
        <v>7.3663553584101678</v>
      </c>
      <c r="D43" s="10">
        <v>2.8239417507045768</v>
      </c>
      <c r="E43" s="10">
        <v>2.2690316864703095</v>
      </c>
      <c r="F43" s="10">
        <v>3.4981911668351433</v>
      </c>
      <c r="G43" s="10">
        <v>4.0352664154469675</v>
      </c>
      <c r="H43" s="10">
        <v>4.3291494135915363</v>
      </c>
      <c r="I43" s="10">
        <v>3.5627877265658774</v>
      </c>
      <c r="J43" s="10">
        <v>2.9391582714476212</v>
      </c>
      <c r="K43" s="10">
        <v>3.164245273468711</v>
      </c>
      <c r="L43" s="10">
        <v>1.5582469899060416</v>
      </c>
      <c r="M43" s="10">
        <v>2.9789415915071804</v>
      </c>
      <c r="N43" s="10">
        <v>2.6288122644073617</v>
      </c>
      <c r="O43" s="10">
        <v>2.9668048503378928</v>
      </c>
      <c r="P43" s="10">
        <v>3.4219892524484607</v>
      </c>
      <c r="Q43" s="10">
        <v>2.193173090661134</v>
      </c>
      <c r="R43" s="10">
        <v>2.5252489051190641</v>
      </c>
      <c r="S43" s="10">
        <v>3.3160393416917455</v>
      </c>
      <c r="T43" s="10">
        <v>4.4480165129923881</v>
      </c>
      <c r="U43" s="10"/>
      <c r="V43" s="4"/>
      <c r="W43" s="18">
        <f>AVERAGE(C43:T43)</f>
        <v>3.3347444367784549</v>
      </c>
      <c r="X43" s="18">
        <f>STDEV(C43:T43)</f>
        <v>1.248916282023351</v>
      </c>
      <c r="Y43" s="5"/>
      <c r="Z43" s="27" t="s">
        <v>12</v>
      </c>
      <c r="AA43" s="27"/>
      <c r="AB43" s="27"/>
      <c r="AC43" s="27"/>
      <c r="AD43" s="34">
        <f>(2.73+3)/2</f>
        <v>2.8650000000000002</v>
      </c>
      <c r="AE43" s="27">
        <v>2.4700000000000002</v>
      </c>
      <c r="AF43" s="7">
        <v>4.3</v>
      </c>
      <c r="AG43" s="34">
        <f>AD43-AE43</f>
        <v>0.39500000000000002</v>
      </c>
      <c r="AH43" s="34">
        <f>AF43-AD43</f>
        <v>1.4349999999999996</v>
      </c>
      <c r="AI43" s="8"/>
      <c r="AJ43" s="38">
        <f>(W43-AD43)/AD43*100</f>
        <v>16.395966379701733</v>
      </c>
      <c r="AK43" s="14"/>
    </row>
    <row r="44" spans="1:37">
      <c r="A44" s="12"/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24"/>
      <c r="X44" s="19"/>
      <c r="Y44" s="13"/>
      <c r="Z44" s="27"/>
      <c r="AA44" s="27"/>
      <c r="AB44" s="27"/>
      <c r="AC44" s="27"/>
      <c r="AD44" s="27"/>
      <c r="AE44" s="27"/>
      <c r="AF44" s="26"/>
      <c r="AG44" s="27"/>
      <c r="AH44" s="27"/>
      <c r="AI44" s="13"/>
      <c r="AJ44" s="38"/>
      <c r="AK44" s="13"/>
    </row>
    <row r="45" spans="1:37">
      <c r="A45" s="1" t="s">
        <v>26</v>
      </c>
      <c r="B45" s="1" t="s">
        <v>94</v>
      </c>
      <c r="C45" s="10">
        <v>5.2414540127782967</v>
      </c>
      <c r="D45" s="10">
        <v>5.203351544182433</v>
      </c>
      <c r="E45" s="10">
        <v>4.1136007271266788</v>
      </c>
      <c r="F45" s="10">
        <v>3.1259137097964831</v>
      </c>
      <c r="G45" s="10">
        <v>2.4239503900631125</v>
      </c>
      <c r="H45" s="10">
        <v>3.117924536059451</v>
      </c>
      <c r="I45" s="10">
        <v>3.4873113133046303</v>
      </c>
      <c r="J45" s="10">
        <v>3.3962872452410484</v>
      </c>
      <c r="K45" s="10">
        <v>3.0929601907070929</v>
      </c>
      <c r="L45" s="10">
        <v>3.2284231957077631</v>
      </c>
      <c r="M45" s="10">
        <v>3.0649671754209109</v>
      </c>
      <c r="N45" s="10">
        <v>3.1511079755058371</v>
      </c>
      <c r="O45" s="10">
        <v>3.6390842543609478</v>
      </c>
      <c r="P45" s="10">
        <v>2.7683021296177794</v>
      </c>
      <c r="Q45" s="10">
        <v>3.547556589519492</v>
      </c>
      <c r="R45" s="10">
        <v>3.331123059058402</v>
      </c>
      <c r="S45" s="10">
        <v>3.2789326399745873</v>
      </c>
      <c r="T45" s="10">
        <v>2.9863569153210077</v>
      </c>
      <c r="U45" s="10"/>
      <c r="V45" s="4"/>
      <c r="W45" s="18">
        <f>AVERAGE(C45:T45)</f>
        <v>3.4554782002081086</v>
      </c>
      <c r="X45" s="18">
        <f>STDEV(C45:T45)</f>
        <v>0.73477644123922248</v>
      </c>
      <c r="Y45" s="5"/>
      <c r="Z45" s="27" t="s">
        <v>26</v>
      </c>
      <c r="AA45" s="27"/>
      <c r="AB45" s="27"/>
      <c r="AC45" s="27"/>
      <c r="AD45" s="28">
        <f>(3.6+4.1)/2</f>
        <v>3.8499999999999996</v>
      </c>
      <c r="AE45" s="27">
        <v>2.33</v>
      </c>
      <c r="AF45" s="7">
        <v>5</v>
      </c>
      <c r="AG45" s="28">
        <f>AD45-AE45</f>
        <v>1.5199999999999996</v>
      </c>
      <c r="AH45" s="28">
        <f>AF45-AD45</f>
        <v>1.1500000000000004</v>
      </c>
      <c r="AI45" s="8"/>
      <c r="AJ45" s="38">
        <f>(W45-AD45)/AD45*100</f>
        <v>-10.247319475114054</v>
      </c>
      <c r="AK45" s="14"/>
    </row>
    <row r="46" spans="1:37">
      <c r="A46" s="1" t="s">
        <v>27</v>
      </c>
      <c r="B46" s="1" t="s">
        <v>94</v>
      </c>
      <c r="C46" s="10">
        <v>2.756411707265805</v>
      </c>
      <c r="D46" s="10">
        <v>1.8134020019606012</v>
      </c>
      <c r="E46" s="10">
        <v>2.472223444715103</v>
      </c>
      <c r="F46" s="10">
        <v>1.1768497247206731</v>
      </c>
      <c r="G46" s="10">
        <v>2.1667924086429791</v>
      </c>
      <c r="H46" s="10">
        <v>1.6099624954271217</v>
      </c>
      <c r="I46" s="10">
        <v>1.9458561244349917</v>
      </c>
      <c r="J46" s="10">
        <v>1.3964569355251821</v>
      </c>
      <c r="K46" s="10">
        <v>1.4492016416448781</v>
      </c>
      <c r="L46" s="10">
        <v>1.675914607633965</v>
      </c>
      <c r="M46" s="10">
        <v>1.9164660713120105</v>
      </c>
      <c r="N46" s="10">
        <v>1.8133056096555651</v>
      </c>
      <c r="O46" s="10">
        <v>1.0168020191805847</v>
      </c>
      <c r="P46" s="10">
        <v>1.6385490082560445</v>
      </c>
      <c r="Q46" s="10">
        <v>1.6870237175281877</v>
      </c>
      <c r="R46" s="10">
        <v>1.2891793485634417</v>
      </c>
      <c r="S46" s="10">
        <v>1.4730582491864803</v>
      </c>
      <c r="T46" s="10">
        <v>1.2726695996737016</v>
      </c>
      <c r="U46" s="10"/>
      <c r="V46" s="4"/>
      <c r="W46" s="18">
        <f>AVERAGE(C46:T46)</f>
        <v>1.6983402619626287</v>
      </c>
      <c r="X46" s="18">
        <f>STDEV(C46:T46)</f>
        <v>0.44551253262104384</v>
      </c>
      <c r="Y46" s="5"/>
      <c r="Z46" s="27" t="s">
        <v>27</v>
      </c>
      <c r="AA46" s="27"/>
      <c r="AB46" s="27"/>
      <c r="AC46" s="27"/>
      <c r="AD46" s="28">
        <f>(1.54+1.7)/2</f>
        <v>1.62</v>
      </c>
      <c r="AE46" s="27">
        <v>0.67</v>
      </c>
      <c r="AF46" s="7">
        <v>2.5</v>
      </c>
      <c r="AG46" s="28">
        <f>AD46-AE46</f>
        <v>0.95000000000000007</v>
      </c>
      <c r="AH46" s="28">
        <f>AF46-AD46</f>
        <v>0.87999999999999989</v>
      </c>
      <c r="AI46" s="8"/>
      <c r="AJ46" s="38">
        <f>(W46-AD46)/AD46*100</f>
        <v>4.8358186396684291</v>
      </c>
      <c r="AK46" s="14"/>
    </row>
    <row r="47" spans="1:37">
      <c r="A47" s="1" t="s">
        <v>28</v>
      </c>
      <c r="B47" s="1" t="s">
        <v>94</v>
      </c>
      <c r="C47" s="10">
        <v>0.10133518471666861</v>
      </c>
      <c r="D47" s="10">
        <v>0.1241985132685641</v>
      </c>
      <c r="E47" s="9">
        <v>7.6055792287755705E-2</v>
      </c>
      <c r="F47" s="9">
        <v>9.6839110633591699E-2</v>
      </c>
      <c r="G47" s="10">
        <v>0.13665714436528445</v>
      </c>
      <c r="H47" s="10">
        <v>0.12496132466144573</v>
      </c>
      <c r="I47" s="10">
        <v>0.20096765445629763</v>
      </c>
      <c r="J47" s="10">
        <v>0.10962475550496265</v>
      </c>
      <c r="K47" s="9">
        <v>8.9347623574303536E-2</v>
      </c>
      <c r="L47" s="10">
        <v>0.11548458503357964</v>
      </c>
      <c r="M47" s="10">
        <v>0.13309896411528915</v>
      </c>
      <c r="N47" s="10">
        <v>0.1234587234760869</v>
      </c>
      <c r="O47" s="10">
        <v>0.10510095979938128</v>
      </c>
      <c r="P47" s="10">
        <v>0.15335612088984649</v>
      </c>
      <c r="Q47" s="10">
        <v>0.15405438375477176</v>
      </c>
      <c r="R47" s="10">
        <v>0.15415788262613336</v>
      </c>
      <c r="S47" s="10">
        <v>0.12572925879390678</v>
      </c>
      <c r="T47" s="10">
        <v>0.15705157270695771</v>
      </c>
      <c r="U47" s="10"/>
      <c r="V47" s="4"/>
      <c r="W47" s="18">
        <f>AVERAGE(C47:T47)</f>
        <v>0.12674886414804598</v>
      </c>
      <c r="X47" s="18">
        <f>STDEV(C47:T47)</f>
        <v>2.9891348751750119E-2</v>
      </c>
      <c r="Y47" s="5"/>
      <c r="Z47" s="27" t="s">
        <v>28</v>
      </c>
      <c r="AA47" s="27"/>
      <c r="AB47" s="27"/>
      <c r="AC47" s="27"/>
      <c r="AD47" s="30">
        <f>(0.115+0.12)/2</f>
        <v>0.11749999999999999</v>
      </c>
      <c r="AE47" s="27">
        <v>6.8000000000000005E-2</v>
      </c>
      <c r="AF47" s="7">
        <v>0.2</v>
      </c>
      <c r="AG47" s="30">
        <f>AD47-AE47</f>
        <v>4.9499999999999988E-2</v>
      </c>
      <c r="AH47" s="30">
        <f>AF47-AD47</f>
        <v>8.2500000000000018E-2</v>
      </c>
      <c r="AI47" s="8"/>
      <c r="AJ47" s="38">
        <f>(W47-AD47)/AD47*100</f>
        <v>7.8713737430178625</v>
      </c>
      <c r="AK47" s="14"/>
    </row>
    <row r="48" spans="1:37">
      <c r="A48" s="12"/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9"/>
      <c r="X48" s="19"/>
      <c r="Y48" s="13"/>
      <c r="Z48" s="27"/>
      <c r="AA48" s="27"/>
      <c r="AB48" s="27"/>
      <c r="AC48" s="27"/>
      <c r="AD48" s="27"/>
      <c r="AE48" s="27"/>
      <c r="AF48" s="26"/>
      <c r="AG48" s="27"/>
      <c r="AH48" s="27"/>
      <c r="AI48" s="13"/>
      <c r="AJ48" s="38"/>
      <c r="AK48" s="13"/>
    </row>
    <row r="49" spans="1:37">
      <c r="A49" s="1" t="s">
        <v>31</v>
      </c>
      <c r="B49" s="1" t="s">
        <v>94</v>
      </c>
      <c r="C49" s="3">
        <v>32.883614031711168</v>
      </c>
      <c r="D49" s="3">
        <v>32.942974406498131</v>
      </c>
      <c r="E49" s="3">
        <v>33.520710474776834</v>
      </c>
      <c r="F49" s="3">
        <v>34.421891728161363</v>
      </c>
      <c r="G49" s="3">
        <v>34.012395994865756</v>
      </c>
      <c r="H49" s="3">
        <v>33.105642774499515</v>
      </c>
      <c r="I49" s="3">
        <v>33.422119486953875</v>
      </c>
      <c r="J49" s="3">
        <v>33.6204308763512</v>
      </c>
      <c r="K49" s="3">
        <v>33.642576074979019</v>
      </c>
      <c r="L49" s="3">
        <v>34.382835763093702</v>
      </c>
      <c r="M49" s="3">
        <v>34.545720796238584</v>
      </c>
      <c r="N49" s="3">
        <v>33.840259854632478</v>
      </c>
      <c r="O49" s="3">
        <v>33.074994708507937</v>
      </c>
      <c r="P49" s="3">
        <v>34.050080211111322</v>
      </c>
      <c r="Q49" s="3">
        <v>34.109817885518844</v>
      </c>
      <c r="R49" s="3">
        <v>35.018040893273017</v>
      </c>
      <c r="S49" s="3">
        <v>34.034306775665613</v>
      </c>
      <c r="T49" s="3">
        <v>35.701007546398031</v>
      </c>
      <c r="U49" s="3"/>
      <c r="V49" s="4"/>
      <c r="W49" s="17">
        <f t="shared" ref="W49:W55" si="7">AVERAGE(C49:T49)</f>
        <v>33.907190015735353</v>
      </c>
      <c r="X49" s="18">
        <f t="shared" ref="X49:X55" si="8">STDEV(C49:T49)</f>
        <v>0.73936337122923612</v>
      </c>
      <c r="Y49" s="5"/>
      <c r="Z49" s="27" t="s">
        <v>31</v>
      </c>
      <c r="AA49" s="27"/>
      <c r="AB49" s="27"/>
      <c r="AC49" s="27"/>
      <c r="AD49" s="31">
        <f>(32.4+32.96)/2</f>
        <v>32.68</v>
      </c>
      <c r="AE49" s="27">
        <v>27</v>
      </c>
      <c r="AF49" s="7">
        <v>39.19</v>
      </c>
      <c r="AG49" s="31">
        <f t="shared" ref="AG49:AG55" si="9">AD49-AE49</f>
        <v>5.68</v>
      </c>
      <c r="AH49" s="31">
        <f t="shared" ref="AH49:AH55" si="10">AF49-AD49</f>
        <v>6.509999999999998</v>
      </c>
      <c r="AI49" s="8"/>
      <c r="AJ49" s="38">
        <f t="shared" ref="AJ49:AJ55" si="11">(W49-AD49)/AD49*100</f>
        <v>3.7551714067789255</v>
      </c>
      <c r="AK49" s="14"/>
    </row>
    <row r="50" spans="1:37">
      <c r="A50" s="1" t="s">
        <v>32</v>
      </c>
      <c r="B50" s="1" t="s">
        <v>94</v>
      </c>
      <c r="C50" s="10">
        <v>4.51036691147086</v>
      </c>
      <c r="D50" s="10">
        <v>4.6741432163564625</v>
      </c>
      <c r="E50" s="10">
        <v>4.899777910526419</v>
      </c>
      <c r="F50" s="10">
        <v>4.682793622131026</v>
      </c>
      <c r="G50" s="10">
        <v>4.6612241394740428</v>
      </c>
      <c r="H50" s="10">
        <v>4.5946823897480797</v>
      </c>
      <c r="I50" s="10">
        <v>4.8009698590513983</v>
      </c>
      <c r="J50" s="10">
        <v>4.8935015486602591</v>
      </c>
      <c r="K50" s="10">
        <v>4.964143559904203</v>
      </c>
      <c r="L50" s="10">
        <v>4.6488348855677133</v>
      </c>
      <c r="M50" s="10">
        <v>4.744483371637938</v>
      </c>
      <c r="N50" s="10">
        <v>5.2048725645859166</v>
      </c>
      <c r="O50" s="10">
        <v>4.6795771018063084</v>
      </c>
      <c r="P50" s="10">
        <v>4.7633019059178947</v>
      </c>
      <c r="Q50" s="10">
        <v>4.6534733723133614</v>
      </c>
      <c r="R50" s="10">
        <v>5.0992193191211124</v>
      </c>
      <c r="S50" s="10">
        <v>5.0602901264361781</v>
      </c>
      <c r="T50" s="10">
        <v>4.7299356055981976</v>
      </c>
      <c r="U50" s="10"/>
      <c r="V50" s="4"/>
      <c r="W50" s="18">
        <f t="shared" si="7"/>
        <v>4.7925328561281875</v>
      </c>
      <c r="X50" s="18">
        <f t="shared" si="8"/>
        <v>0.18925281129541596</v>
      </c>
      <c r="Y50" s="5"/>
      <c r="Z50" s="27" t="s">
        <v>32</v>
      </c>
      <c r="AA50" s="27"/>
      <c r="AB50" s="27"/>
      <c r="AC50" s="27"/>
      <c r="AD50" s="30">
        <f>(4.6+4.71)/2</f>
        <v>4.6549999999999994</v>
      </c>
      <c r="AE50" s="27">
        <v>4.17</v>
      </c>
      <c r="AF50" s="7">
        <v>5.28</v>
      </c>
      <c r="AG50" s="30">
        <f t="shared" si="9"/>
        <v>0.48499999999999943</v>
      </c>
      <c r="AH50" s="30">
        <f t="shared" si="10"/>
        <v>0.62500000000000089</v>
      </c>
      <c r="AI50" s="8"/>
      <c r="AJ50" s="38">
        <f t="shared" si="11"/>
        <v>2.9545189286399167</v>
      </c>
      <c r="AK50" s="14"/>
    </row>
    <row r="51" spans="1:37">
      <c r="A51" s="1" t="s">
        <v>36</v>
      </c>
      <c r="B51" s="1" t="s">
        <v>94</v>
      </c>
      <c r="C51" s="10">
        <v>6.5089442234471857</v>
      </c>
      <c r="D51" s="10">
        <v>5.473216595884252</v>
      </c>
      <c r="E51" s="10">
        <v>5.8284849995757551</v>
      </c>
      <c r="F51" s="10">
        <v>6.1949723670543317</v>
      </c>
      <c r="G51" s="10">
        <v>6.2597448511663796</v>
      </c>
      <c r="H51" s="10">
        <v>5.2824620363520873</v>
      </c>
      <c r="I51" s="10">
        <v>5.8908886193589352</v>
      </c>
      <c r="J51" s="10">
        <v>6.2401759305067603</v>
      </c>
      <c r="K51" s="10">
        <v>5.3350026536093935</v>
      </c>
      <c r="L51" s="10">
        <v>4.9128693658036005</v>
      </c>
      <c r="M51" s="10">
        <v>6.8195109267462728</v>
      </c>
      <c r="N51" s="10">
        <v>7.1148034081738949</v>
      </c>
      <c r="O51" s="10">
        <v>5.2833477053978868</v>
      </c>
      <c r="P51" s="10">
        <v>6.1235467662895893</v>
      </c>
      <c r="Q51" s="10">
        <v>6.0048438258069945</v>
      </c>
      <c r="R51" s="10">
        <v>6.6979393020924389</v>
      </c>
      <c r="S51" s="10">
        <v>6.0093801542917955</v>
      </c>
      <c r="T51" s="10">
        <v>6.0410922212608753</v>
      </c>
      <c r="U51" s="10"/>
      <c r="V51" s="4"/>
      <c r="W51" s="18">
        <f t="shared" si="7"/>
        <v>6.0011792196010241</v>
      </c>
      <c r="X51" s="18">
        <f t="shared" si="8"/>
        <v>0.58471120794720388</v>
      </c>
      <c r="Y51" s="5"/>
      <c r="Z51" s="27" t="s">
        <v>36</v>
      </c>
      <c r="AA51" s="27"/>
      <c r="AB51" s="27"/>
      <c r="AC51" s="27"/>
      <c r="AD51" s="28">
        <f>(5.92+6.1)/2</f>
        <v>6.01</v>
      </c>
      <c r="AE51" s="27">
        <v>4.8600000000000003</v>
      </c>
      <c r="AF51" s="7">
        <v>7.8</v>
      </c>
      <c r="AG51" s="28">
        <f t="shared" si="9"/>
        <v>1.1499999999999995</v>
      </c>
      <c r="AH51" s="28">
        <f t="shared" si="10"/>
        <v>1.79</v>
      </c>
      <c r="AI51" s="8"/>
      <c r="AJ51" s="38">
        <f t="shared" si="11"/>
        <v>-0.14676839266182551</v>
      </c>
      <c r="AK51" s="14"/>
    </row>
    <row r="52" spans="1:37">
      <c r="A52" s="1" t="s">
        <v>37</v>
      </c>
      <c r="B52" s="1" t="s">
        <v>94</v>
      </c>
      <c r="C52" s="10">
        <v>0.95793733227364963</v>
      </c>
      <c r="D52" s="10">
        <v>0.9341159955438193</v>
      </c>
      <c r="E52" s="10">
        <v>0.90985273214001672</v>
      </c>
      <c r="F52" s="10">
        <v>0.90405174858042359</v>
      </c>
      <c r="G52" s="10">
        <v>0.99529075359472841</v>
      </c>
      <c r="H52" s="10">
        <v>0.9384207074540466</v>
      </c>
      <c r="I52" s="10">
        <v>0.81423377428579935</v>
      </c>
      <c r="J52" s="10">
        <v>0.90327781760384651</v>
      </c>
      <c r="K52" s="10">
        <v>0.89632713573791034</v>
      </c>
      <c r="L52" s="10">
        <v>0.86111543337902785</v>
      </c>
      <c r="M52" s="10">
        <v>0.87236647505686471</v>
      </c>
      <c r="N52" s="10">
        <v>0.83178283401724884</v>
      </c>
      <c r="O52" s="10">
        <v>0.86869611290602411</v>
      </c>
      <c r="P52" s="10">
        <v>0.85014001377853399</v>
      </c>
      <c r="Q52" s="10">
        <v>0.93811624246119629</v>
      </c>
      <c r="R52" s="10">
        <v>1.0584291293480208</v>
      </c>
      <c r="S52" s="10">
        <v>1.0293938113338463</v>
      </c>
      <c r="T52" s="10">
        <v>1.0401243925192294</v>
      </c>
      <c r="U52" s="10"/>
      <c r="V52" s="4"/>
      <c r="W52" s="18">
        <f t="shared" si="7"/>
        <v>0.92242624677856844</v>
      </c>
      <c r="X52" s="18">
        <f t="shared" si="8"/>
        <v>7.1473246364028117E-2</v>
      </c>
      <c r="Y52" s="5"/>
      <c r="Z52" s="27" t="s">
        <v>37</v>
      </c>
      <c r="AA52" s="27"/>
      <c r="AB52" s="27"/>
      <c r="AC52" s="27"/>
      <c r="AD52" s="28">
        <f>(0.89+0.93)/2</f>
        <v>0.91</v>
      </c>
      <c r="AE52" s="27">
        <v>0.71799999999999997</v>
      </c>
      <c r="AF52" s="7">
        <v>1.3</v>
      </c>
      <c r="AG52" s="28">
        <f t="shared" si="9"/>
        <v>0.19200000000000006</v>
      </c>
      <c r="AH52" s="28">
        <f t="shared" si="10"/>
        <v>0.39</v>
      </c>
      <c r="AI52" s="8"/>
      <c r="AJ52" s="38">
        <f t="shared" si="11"/>
        <v>1.365521624018506</v>
      </c>
      <c r="AK52" s="14"/>
    </row>
    <row r="53" spans="1:37">
      <c r="A53" s="1" t="s">
        <v>38</v>
      </c>
      <c r="B53" s="1" t="s">
        <v>94</v>
      </c>
      <c r="C53" s="10">
        <v>5.1769147736450165</v>
      </c>
      <c r="D53" s="10">
        <v>5.0989432419715994</v>
      </c>
      <c r="E53" s="10">
        <v>5.2947936175984882</v>
      </c>
      <c r="F53" s="10">
        <v>4.874312324338856</v>
      </c>
      <c r="G53" s="10">
        <v>5.3993289948789744</v>
      </c>
      <c r="H53" s="10">
        <v>5.2806811621945924</v>
      </c>
      <c r="I53" s="10">
        <v>5.3267062332985526</v>
      </c>
      <c r="J53" s="10">
        <v>5.8268116165481088</v>
      </c>
      <c r="K53" s="10">
        <v>5.417700593622774</v>
      </c>
      <c r="L53" s="10">
        <v>5.1865416986299371</v>
      </c>
      <c r="M53" s="10">
        <v>4.8399437935092822</v>
      </c>
      <c r="N53" s="10">
        <v>5.5941566417282278</v>
      </c>
      <c r="O53" s="10">
        <v>5.1723792802904089</v>
      </c>
      <c r="P53" s="10">
        <v>4.6652074306800326</v>
      </c>
      <c r="Q53" s="10">
        <v>5.2827364535325199</v>
      </c>
      <c r="R53" s="10">
        <v>5.0487579178962143</v>
      </c>
      <c r="S53" s="10">
        <v>5.3167282731944292</v>
      </c>
      <c r="T53" s="10">
        <v>4.7335113841851824</v>
      </c>
      <c r="U53" s="10"/>
      <c r="V53" s="4"/>
      <c r="W53" s="18">
        <f t="shared" si="7"/>
        <v>5.1964530795412882</v>
      </c>
      <c r="X53" s="18">
        <f t="shared" si="8"/>
        <v>0.29316359758123939</v>
      </c>
      <c r="Y53" s="5"/>
      <c r="Z53" s="27" t="s">
        <v>38</v>
      </c>
      <c r="AA53" s="27"/>
      <c r="AB53" s="27"/>
      <c r="AC53" s="27"/>
      <c r="AD53" s="30">
        <f>(5.22+5.35)/2</f>
        <v>5.2850000000000001</v>
      </c>
      <c r="AE53" s="27">
        <v>3.9</v>
      </c>
      <c r="AF53" s="7">
        <v>5.7</v>
      </c>
      <c r="AG53" s="30">
        <f t="shared" si="9"/>
        <v>1.3850000000000002</v>
      </c>
      <c r="AH53" s="30">
        <f t="shared" si="10"/>
        <v>0.41500000000000004</v>
      </c>
      <c r="AI53" s="8"/>
      <c r="AJ53" s="38">
        <f t="shared" si="11"/>
        <v>-1.6754384192755334</v>
      </c>
      <c r="AK53" s="14"/>
    </row>
    <row r="54" spans="1:37">
      <c r="A54" s="1" t="s">
        <v>39</v>
      </c>
      <c r="B54" s="1" t="s">
        <v>94</v>
      </c>
      <c r="C54" s="10">
        <v>0.98227545980832953</v>
      </c>
      <c r="D54" s="10">
        <v>0.98668815807165111</v>
      </c>
      <c r="E54" s="10">
        <v>0.93866335368261755</v>
      </c>
      <c r="F54" s="10">
        <v>0.84869327109395032</v>
      </c>
      <c r="G54" s="10">
        <v>0.99966795010574161</v>
      </c>
      <c r="H54" s="10">
        <v>0.95028109432506447</v>
      </c>
      <c r="I54" s="10">
        <v>0.95838465262405492</v>
      </c>
      <c r="J54" s="10">
        <v>1.0049060712526579</v>
      </c>
      <c r="K54" s="10">
        <v>0.93542080479271739</v>
      </c>
      <c r="L54" s="10">
        <v>1.0434379543586398</v>
      </c>
      <c r="M54" s="10">
        <v>0.93210256961869487</v>
      </c>
      <c r="N54" s="10">
        <v>0.89856452218876381</v>
      </c>
      <c r="O54" s="10">
        <v>1.0231185174899691</v>
      </c>
      <c r="P54" s="10">
        <v>1.0632633869909851</v>
      </c>
      <c r="Q54" s="10">
        <v>0.99581408565723517</v>
      </c>
      <c r="R54" s="10">
        <v>1.0085171806829938</v>
      </c>
      <c r="S54" s="10">
        <v>0.86992821044886592</v>
      </c>
      <c r="T54" s="10">
        <v>0.90139606184013188</v>
      </c>
      <c r="U54" s="10"/>
      <c r="V54" s="4"/>
      <c r="W54" s="18">
        <f t="shared" si="7"/>
        <v>0.96339573916850363</v>
      </c>
      <c r="X54" s="18">
        <f t="shared" si="8"/>
        <v>5.9152000512334192E-2</v>
      </c>
      <c r="Y54" s="5"/>
      <c r="Z54" s="27" t="s">
        <v>39</v>
      </c>
      <c r="AA54" s="27"/>
      <c r="AB54" s="27"/>
      <c r="AC54" s="27"/>
      <c r="AD54" s="30">
        <f>(0.961+0.99)/2</f>
        <v>0.97550000000000003</v>
      </c>
      <c r="AE54" s="27">
        <v>0.8</v>
      </c>
      <c r="AF54" s="7">
        <v>1.06</v>
      </c>
      <c r="AG54" s="30">
        <f t="shared" si="9"/>
        <v>0.17549999999999999</v>
      </c>
      <c r="AH54" s="30">
        <f t="shared" si="10"/>
        <v>8.450000000000002E-2</v>
      </c>
      <c r="AI54" s="8"/>
      <c r="AJ54" s="38">
        <f t="shared" si="11"/>
        <v>-1.2408263281903029</v>
      </c>
      <c r="AK54" s="14"/>
    </row>
    <row r="55" spans="1:37">
      <c r="A55" s="1" t="s">
        <v>40</v>
      </c>
      <c r="B55" s="1" t="s">
        <v>94</v>
      </c>
      <c r="C55" s="10">
        <v>2.8339346963554992</v>
      </c>
      <c r="D55" s="10">
        <v>2.7438630378883215</v>
      </c>
      <c r="E55" s="10">
        <v>2.7922516707161202</v>
      </c>
      <c r="F55" s="10">
        <v>2.6998078781180634</v>
      </c>
      <c r="G55" s="10">
        <v>2.9812848168719723</v>
      </c>
      <c r="H55" s="10">
        <v>2.7300151142123386</v>
      </c>
      <c r="I55" s="10">
        <v>2.5728661985891166</v>
      </c>
      <c r="J55" s="10">
        <v>2.6573722865716358</v>
      </c>
      <c r="K55" s="10">
        <v>2.6940462494540673</v>
      </c>
      <c r="L55" s="10">
        <v>2.6815634879157297</v>
      </c>
      <c r="M55" s="10">
        <v>2.3747785136771267</v>
      </c>
      <c r="N55" s="10">
        <v>2.4208608841074657</v>
      </c>
      <c r="O55" s="10">
        <v>2.5917585716562916</v>
      </c>
      <c r="P55" s="10">
        <v>2.4811949892074097</v>
      </c>
      <c r="Q55" s="10">
        <v>2.5723286760322539</v>
      </c>
      <c r="R55" s="10">
        <v>2.4775991367069916</v>
      </c>
      <c r="S55" s="10">
        <v>2.5260168046452001</v>
      </c>
      <c r="T55" s="10">
        <v>3.1413061037642338</v>
      </c>
      <c r="U55" s="10"/>
      <c r="V55" s="4"/>
      <c r="W55" s="18">
        <f t="shared" si="7"/>
        <v>2.6651582842494359</v>
      </c>
      <c r="X55" s="18">
        <f t="shared" si="8"/>
        <v>0.19387112727329686</v>
      </c>
      <c r="Y55" s="5"/>
      <c r="Z55" s="27" t="s">
        <v>40</v>
      </c>
      <c r="AA55" s="27"/>
      <c r="AB55" s="27"/>
      <c r="AC55" s="27"/>
      <c r="AD55" s="28">
        <f>(2.54+2.64)/2</f>
        <v>2.59</v>
      </c>
      <c r="AE55" s="27">
        <v>2.1</v>
      </c>
      <c r="AF55" s="7">
        <v>2.9</v>
      </c>
      <c r="AG55" s="28">
        <f t="shared" si="9"/>
        <v>0.48999999999999977</v>
      </c>
      <c r="AH55" s="28">
        <f t="shared" si="10"/>
        <v>0.31000000000000005</v>
      </c>
      <c r="AI55" s="8"/>
      <c r="AJ55" s="38">
        <f t="shared" si="11"/>
        <v>2.9018642567349828</v>
      </c>
      <c r="AK55" s="14"/>
    </row>
    <row r="56" spans="1:37">
      <c r="A56" s="1"/>
      <c r="B56" s="1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4"/>
      <c r="W56" s="17"/>
      <c r="X56" s="18"/>
      <c r="Y56" s="5"/>
      <c r="Z56" s="27"/>
      <c r="AA56" s="27"/>
      <c r="AB56" s="27"/>
      <c r="AC56" s="27"/>
      <c r="AD56" s="28"/>
      <c r="AE56" s="27"/>
      <c r="AF56" s="7"/>
      <c r="AG56" s="28"/>
      <c r="AH56" s="28"/>
      <c r="AI56" s="8"/>
      <c r="AJ56" s="38"/>
      <c r="AK56" s="14"/>
    </row>
    <row r="57" spans="1:37">
      <c r="A57" s="1" t="s">
        <v>47</v>
      </c>
      <c r="B57" s="1" t="s">
        <v>94</v>
      </c>
      <c r="C57" s="10">
        <v>1.9970600988891947</v>
      </c>
      <c r="D57" s="10">
        <v>1.8743305478239933</v>
      </c>
      <c r="E57" s="10">
        <v>1.9599734164629177</v>
      </c>
      <c r="F57" s="10">
        <v>2.0275907874634518</v>
      </c>
      <c r="G57" s="10">
        <v>1.9196626157426862</v>
      </c>
      <c r="H57" s="10">
        <v>1.7282422506385191</v>
      </c>
      <c r="I57" s="10">
        <v>1.9789052416801045</v>
      </c>
      <c r="J57" s="10">
        <v>2.1165210179326861</v>
      </c>
      <c r="K57" s="10">
        <v>2.0351952969702234</v>
      </c>
      <c r="L57" s="10">
        <v>1.9374615071069179</v>
      </c>
      <c r="M57" s="10">
        <v>2.0787421295095232</v>
      </c>
      <c r="N57" s="10">
        <v>2.1276787721867154</v>
      </c>
      <c r="O57" s="10">
        <v>2.0457101372728204</v>
      </c>
      <c r="P57" s="10">
        <v>2.2928607362005273</v>
      </c>
      <c r="Q57" s="10">
        <v>1.8564422878936109</v>
      </c>
      <c r="R57" s="10">
        <v>1.8713637789723525</v>
      </c>
      <c r="S57" s="10">
        <v>1.957466637340102</v>
      </c>
      <c r="T57" s="10">
        <v>1.8562929800573302</v>
      </c>
      <c r="U57" s="10"/>
      <c r="V57" s="4"/>
      <c r="W57" s="18">
        <f>AVERAGE(C57:T57)</f>
        <v>1.9811944577857596</v>
      </c>
      <c r="X57" s="18">
        <f>STDEV(C57:T57)</f>
        <v>0.12862470434095716</v>
      </c>
      <c r="Y57" s="5"/>
      <c r="Z57" s="27" t="s">
        <v>47</v>
      </c>
      <c r="AA57" s="27"/>
      <c r="AB57" s="27"/>
      <c r="AC57" s="27"/>
      <c r="AD57" s="30">
        <f>(2.07+2.2)/2</f>
        <v>2.1349999999999998</v>
      </c>
      <c r="AE57" s="27">
        <v>1.57</v>
      </c>
      <c r="AF57" s="7">
        <v>3</v>
      </c>
      <c r="AG57" s="30">
        <f>AD57-AE57</f>
        <v>0.56499999999999972</v>
      </c>
      <c r="AH57" s="30">
        <f>AF57-AD57</f>
        <v>0.86500000000000021</v>
      </c>
      <c r="AI57" s="8"/>
      <c r="AJ57" s="38">
        <f>(W57-AD57)/AD57*100</f>
        <v>-7.2040066610885312</v>
      </c>
      <c r="AK57" s="14"/>
    </row>
    <row r="58" spans="1:37">
      <c r="A58" s="1" t="s">
        <v>46</v>
      </c>
      <c r="B58" s="1" t="s">
        <v>94</v>
      </c>
      <c r="C58" s="10">
        <v>0.55409837092298386</v>
      </c>
      <c r="D58" s="10">
        <v>0.44183899824026773</v>
      </c>
      <c r="E58" s="10">
        <v>0.49894085946498679</v>
      </c>
      <c r="F58" s="10">
        <v>0.41986685299760507</v>
      </c>
      <c r="G58" s="10">
        <v>0.47651373482778586</v>
      </c>
      <c r="H58" s="10">
        <v>0.49369484988393025</v>
      </c>
      <c r="I58" s="10">
        <v>0.6326647263767684</v>
      </c>
      <c r="J58" s="10">
        <v>0.42967629341149827</v>
      </c>
      <c r="K58" s="10">
        <v>0.55964627674180845</v>
      </c>
      <c r="L58" s="10">
        <v>0.56795857377643078</v>
      </c>
      <c r="M58" s="10">
        <v>0.53441951548061883</v>
      </c>
      <c r="N58" s="10">
        <v>0.45156726321205948</v>
      </c>
      <c r="O58" s="10">
        <v>0.86259410078224996</v>
      </c>
      <c r="P58" s="10">
        <v>0.41902029388486872</v>
      </c>
      <c r="Q58" s="10">
        <v>0.64145906542754549</v>
      </c>
      <c r="R58" s="10">
        <v>0.82612282528795367</v>
      </c>
      <c r="S58" s="10">
        <v>0.44259922324685691</v>
      </c>
      <c r="T58" s="10">
        <v>0.43071117989477031</v>
      </c>
      <c r="U58" s="10"/>
      <c r="V58" s="4"/>
      <c r="W58" s="18">
        <f>AVERAGE(C58:T58)</f>
        <v>0.53796627799227714</v>
      </c>
      <c r="X58" s="18">
        <f>STDEV(C58:T58)</f>
        <v>0.13153479320530417</v>
      </c>
      <c r="Y58" s="5"/>
      <c r="Z58" s="27" t="s">
        <v>46</v>
      </c>
      <c r="AA58" s="27"/>
      <c r="AB58" s="27"/>
      <c r="AC58" s="27"/>
      <c r="AD58" s="33">
        <v>0.37</v>
      </c>
      <c r="AE58" s="27">
        <v>0.28000000000000003</v>
      </c>
      <c r="AF58" s="7">
        <v>1.07</v>
      </c>
      <c r="AG58" s="33">
        <f>AD58-AE58</f>
        <v>8.9999999999999969E-2</v>
      </c>
      <c r="AH58" s="33">
        <f>AF58-AD58</f>
        <v>0.70000000000000007</v>
      </c>
      <c r="AI58" s="8"/>
      <c r="AJ58" s="38">
        <f>(W58-AD58)/AD58*100</f>
        <v>45.396291349264096</v>
      </c>
      <c r="AK58" s="14"/>
    </row>
    <row r="59" spans="1:37">
      <c r="A59" s="1" t="s">
        <v>49</v>
      </c>
      <c r="B59" s="1" t="s">
        <v>94</v>
      </c>
      <c r="C59" s="10">
        <v>0.63784512031416163</v>
      </c>
      <c r="D59" s="10">
        <v>0.63499864246003279</v>
      </c>
      <c r="E59" s="10">
        <v>0.56080151255514776</v>
      </c>
      <c r="F59" s="10">
        <v>0.58313763448040545</v>
      </c>
      <c r="G59" s="10">
        <v>0.48948802687016446</v>
      </c>
      <c r="H59" s="10">
        <v>0.53282835896712077</v>
      </c>
      <c r="I59" s="10">
        <v>0.60170021038083854</v>
      </c>
      <c r="J59" s="10">
        <v>0.47622652598643594</v>
      </c>
      <c r="K59" s="10">
        <v>0.60902124760264698</v>
      </c>
      <c r="L59" s="10">
        <v>0.55012405267739495</v>
      </c>
      <c r="M59" s="10">
        <v>0.60167606836118359</v>
      </c>
      <c r="N59" s="10">
        <v>0.58875867706298113</v>
      </c>
      <c r="O59" s="10">
        <v>0.53723872870434419</v>
      </c>
      <c r="P59" s="10">
        <v>0.4933824738332554</v>
      </c>
      <c r="Q59" s="10">
        <v>0.58374824243126178</v>
      </c>
      <c r="R59" s="10">
        <v>0.5508536417300135</v>
      </c>
      <c r="S59" s="10">
        <v>0.50122755846122369</v>
      </c>
      <c r="T59" s="10">
        <v>0.52550605384312477</v>
      </c>
      <c r="U59" s="10"/>
      <c r="V59" s="4"/>
      <c r="W59" s="18">
        <f>AVERAGE(C59:T59)</f>
        <v>0.55880904315120772</v>
      </c>
      <c r="X59" s="18">
        <f>STDEV(C59:T59)</f>
        <v>4.9689903333962324E-2</v>
      </c>
      <c r="Y59" s="5"/>
      <c r="Z59" s="27" t="s">
        <v>49</v>
      </c>
      <c r="AA59" s="27"/>
      <c r="AB59" s="27"/>
      <c r="AC59" s="27"/>
      <c r="AD59" s="30">
        <f>(0.548+0.55)/2</f>
        <v>0.54900000000000004</v>
      </c>
      <c r="AE59" s="27">
        <v>0.3</v>
      </c>
      <c r="AF59" s="7">
        <v>1.1000000000000001</v>
      </c>
      <c r="AG59" s="30">
        <f>AD59-AE59</f>
        <v>0.24900000000000005</v>
      </c>
      <c r="AH59" s="30">
        <f>AF59-AD59</f>
        <v>0.55100000000000005</v>
      </c>
      <c r="AI59" s="8"/>
      <c r="AJ59" s="38">
        <f>(W59-AD59)/AD59*100</f>
        <v>1.7867109565041301</v>
      </c>
      <c r="AK59" s="14"/>
    </row>
    <row r="60" spans="1:37">
      <c r="A60" s="12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</row>
  </sheetData>
  <phoneticPr fontId="1" type="noConversion"/>
  <pageMargins left="0.7" right="0.7" top="0.75" bottom="0.75" header="0.3" footer="0.3"/>
  <pageSetup paperSize="9" orientation="portrait" horizontalDpi="4294967295" verticalDpi="429496729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workbookViewId="0">
      <selection sqref="A1:A3"/>
    </sheetView>
  </sheetViews>
  <sheetFormatPr baseColWidth="10" defaultColWidth="8.83203125" defaultRowHeight="14" x14ac:dyDescent="0"/>
  <sheetData>
    <row r="1" spans="1:37" ht="16">
      <c r="A1" s="69" t="s">
        <v>288</v>
      </c>
    </row>
    <row r="2" spans="1:37">
      <c r="A2" s="67" t="s">
        <v>289</v>
      </c>
    </row>
    <row r="3" spans="1:37" ht="15">
      <c r="A3" s="70" t="s">
        <v>291</v>
      </c>
    </row>
    <row r="4" spans="1:37">
      <c r="A4" s="1" t="s">
        <v>134</v>
      </c>
      <c r="B4" s="1" t="s">
        <v>50</v>
      </c>
      <c r="C4" s="2" t="s">
        <v>69</v>
      </c>
      <c r="D4" s="2" t="s">
        <v>70</v>
      </c>
      <c r="E4" s="2" t="s">
        <v>71</v>
      </c>
      <c r="F4" s="2" t="s">
        <v>72</v>
      </c>
      <c r="G4" s="2" t="s">
        <v>73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78</v>
      </c>
      <c r="M4" s="2" t="s">
        <v>79</v>
      </c>
      <c r="N4" s="2" t="s">
        <v>80</v>
      </c>
      <c r="O4" s="2" t="s">
        <v>81</v>
      </c>
      <c r="P4" s="2" t="s">
        <v>82</v>
      </c>
      <c r="Q4" s="2" t="s">
        <v>83</v>
      </c>
      <c r="R4" s="2" t="s">
        <v>84</v>
      </c>
      <c r="S4" s="2" t="s">
        <v>85</v>
      </c>
      <c r="T4" s="2" t="s">
        <v>86</v>
      </c>
      <c r="U4" s="20"/>
      <c r="V4" s="20"/>
      <c r="W4" s="22" t="s">
        <v>149</v>
      </c>
      <c r="X4" s="22"/>
      <c r="Y4" s="2"/>
      <c r="Z4" s="26" t="s">
        <v>150</v>
      </c>
      <c r="AA4" s="26"/>
      <c r="AB4" s="26"/>
      <c r="AC4" s="26"/>
      <c r="AD4" s="26"/>
      <c r="AE4" s="26"/>
      <c r="AF4" s="26"/>
      <c r="AG4" s="2"/>
      <c r="AH4" s="2"/>
      <c r="AI4" s="8"/>
      <c r="AJ4" s="8"/>
      <c r="AK4" s="8"/>
    </row>
    <row r="5" spans="1:37">
      <c r="A5" s="1" t="s">
        <v>135</v>
      </c>
      <c r="B5" s="1" t="s">
        <v>50</v>
      </c>
      <c r="C5" s="2" t="s">
        <v>88</v>
      </c>
      <c r="D5" s="2" t="s">
        <v>88</v>
      </c>
      <c r="E5" s="2" t="s">
        <v>88</v>
      </c>
      <c r="F5" s="2" t="s">
        <v>88</v>
      </c>
      <c r="G5" s="2" t="s">
        <v>88</v>
      </c>
      <c r="H5" s="2" t="s">
        <v>88</v>
      </c>
      <c r="I5" s="2" t="s">
        <v>88</v>
      </c>
      <c r="J5" s="2" t="s">
        <v>88</v>
      </c>
      <c r="K5" s="2" t="s">
        <v>88</v>
      </c>
      <c r="L5" s="2" t="s">
        <v>88</v>
      </c>
      <c r="M5" s="2" t="s">
        <v>88</v>
      </c>
      <c r="N5" s="2" t="s">
        <v>88</v>
      </c>
      <c r="O5" s="2" t="s">
        <v>88</v>
      </c>
      <c r="P5" s="2" t="s">
        <v>88</v>
      </c>
      <c r="Q5" s="2" t="s">
        <v>88</v>
      </c>
      <c r="R5" s="2" t="s">
        <v>88</v>
      </c>
      <c r="S5" s="2" t="s">
        <v>88</v>
      </c>
      <c r="T5" s="2" t="s">
        <v>88</v>
      </c>
      <c r="U5" s="21" t="s">
        <v>91</v>
      </c>
      <c r="V5" s="21" t="s">
        <v>89</v>
      </c>
      <c r="W5" s="23" t="s">
        <v>91</v>
      </c>
      <c r="X5" s="23" t="s">
        <v>90</v>
      </c>
      <c r="Y5" s="1"/>
      <c r="Z5" s="27"/>
      <c r="AA5" s="27" t="s">
        <v>139</v>
      </c>
      <c r="AB5" s="27" t="s">
        <v>137</v>
      </c>
      <c r="AC5" s="27" t="s">
        <v>138</v>
      </c>
      <c r="AD5" s="27" t="s">
        <v>139</v>
      </c>
      <c r="AE5" s="27" t="s">
        <v>137</v>
      </c>
      <c r="AF5" s="27" t="s">
        <v>138</v>
      </c>
      <c r="AG5" s="27" t="s">
        <v>146</v>
      </c>
      <c r="AH5" s="27" t="s">
        <v>147</v>
      </c>
      <c r="AI5" s="8"/>
      <c r="AJ5" s="37" t="s">
        <v>140</v>
      </c>
      <c r="AK5" s="8"/>
    </row>
    <row r="6" spans="1:37">
      <c r="A6" s="1" t="s">
        <v>3</v>
      </c>
      <c r="B6" s="1" t="s">
        <v>92</v>
      </c>
      <c r="C6" s="3">
        <v>51.041726108407097</v>
      </c>
      <c r="D6" s="3">
        <v>51.891890349189588</v>
      </c>
      <c r="E6" s="3">
        <v>51.73930148638874</v>
      </c>
      <c r="F6" s="3">
        <v>50.37894101654706</v>
      </c>
      <c r="G6" s="3">
        <v>51.259500378079387</v>
      </c>
      <c r="H6" s="3">
        <v>53.243088806308485</v>
      </c>
      <c r="I6" s="3">
        <v>51.779166866313304</v>
      </c>
      <c r="J6" s="3">
        <v>51.557665584189145</v>
      </c>
      <c r="K6" s="3">
        <v>51.819933856014536</v>
      </c>
      <c r="L6" s="3">
        <v>51.261463940443889</v>
      </c>
      <c r="M6" s="3">
        <v>51.954695575235853</v>
      </c>
      <c r="N6" s="3">
        <v>49.932520079465363</v>
      </c>
      <c r="O6" s="3">
        <v>52.315096733284449</v>
      </c>
      <c r="P6" s="3">
        <v>50.600578052229302</v>
      </c>
      <c r="Q6" s="3">
        <v>51.807363124032392</v>
      </c>
      <c r="R6" s="3">
        <v>50.545497553763681</v>
      </c>
      <c r="S6" s="3">
        <v>52.640632673062846</v>
      </c>
      <c r="T6" s="3">
        <v>52.334200084507017</v>
      </c>
      <c r="U6" s="39">
        <f t="shared" ref="U6:U15" si="0">AVERAGE(C6:T6)</f>
        <v>51.561292348192332</v>
      </c>
      <c r="V6" s="40">
        <f t="shared" ref="V6:V15" si="1">STDEV(C6:T6)</f>
        <v>0.84318334939073247</v>
      </c>
      <c r="W6" s="25">
        <f>U6*28.1/(28.1+15.99*2)*10000</f>
        <v>241157.17626235099</v>
      </c>
      <c r="X6" s="25">
        <f>V6*28.1/(28.1+15.99*2)*10000</f>
        <v>3943.6504856657102</v>
      </c>
      <c r="Y6" s="4"/>
      <c r="Z6" s="6" t="s">
        <v>3</v>
      </c>
      <c r="AA6" s="31">
        <f>(50.9+51.4)/2</f>
        <v>51.15</v>
      </c>
      <c r="AB6" s="6">
        <v>48.9</v>
      </c>
      <c r="AC6" s="6">
        <v>52.6</v>
      </c>
      <c r="AD6" s="29">
        <f>AA6*28.1/(28.1+15.99*2)*10000</f>
        <v>239233.52197070574</v>
      </c>
      <c r="AE6" s="29">
        <f>AB6*28.1/(28.1+15.99*2)*10000</f>
        <v>228710.05326231688</v>
      </c>
      <c r="AF6" s="29">
        <f>AC6*28.1/(28.1+15.99*2)*10000</f>
        <v>246015.31291611187</v>
      </c>
      <c r="AG6" s="29">
        <f t="shared" ref="AG6:AG39" si="2">AD6-AE6</f>
        <v>10523.468708388857</v>
      </c>
      <c r="AH6" s="29">
        <f t="shared" ref="AH6:AH39" si="3">AF6-AD6</f>
        <v>6781.79094540613</v>
      </c>
      <c r="AI6" s="8"/>
      <c r="AJ6" s="38">
        <f t="shared" ref="AJ6:AJ39" si="4">(W6-AD6)/AD6*100</f>
        <v>0.80409061230173151</v>
      </c>
      <c r="AK6" s="3"/>
    </row>
    <row r="7" spans="1:37">
      <c r="A7" s="1" t="s">
        <v>7</v>
      </c>
      <c r="B7" s="1" t="s">
        <v>92</v>
      </c>
      <c r="C7" s="10">
        <v>2.1352948162239325</v>
      </c>
      <c r="D7" s="10">
        <v>2.0808049860705919</v>
      </c>
      <c r="E7" s="10">
        <v>2.1420431859503393</v>
      </c>
      <c r="F7" s="10">
        <v>2.1063893596404299</v>
      </c>
      <c r="G7" s="10">
        <v>2.1240354187803634</v>
      </c>
      <c r="H7" s="10">
        <v>2.0813459439691551</v>
      </c>
      <c r="I7" s="10">
        <v>2.1493471692404702</v>
      </c>
      <c r="J7" s="10">
        <v>2.1422631748450471</v>
      </c>
      <c r="K7" s="10">
        <v>2.1223316831122609</v>
      </c>
      <c r="L7" s="10">
        <v>2.1336484645800655</v>
      </c>
      <c r="M7" s="10">
        <v>2.1478718597808557</v>
      </c>
      <c r="N7" s="10">
        <v>2.2087237393419001</v>
      </c>
      <c r="O7" s="10">
        <v>2.0749312989790805</v>
      </c>
      <c r="P7" s="10">
        <v>2.1813816015726477</v>
      </c>
      <c r="Q7" s="10">
        <v>2.1504590617429207</v>
      </c>
      <c r="R7" s="10">
        <v>2.163947632662186</v>
      </c>
      <c r="S7" s="10">
        <v>2.0610551068325083</v>
      </c>
      <c r="T7" s="10">
        <v>2.1370724747319407</v>
      </c>
      <c r="U7" s="40">
        <f t="shared" si="0"/>
        <v>2.1301637210031492</v>
      </c>
      <c r="V7" s="40">
        <f t="shared" si="1"/>
        <v>3.8128037647100467E-2</v>
      </c>
      <c r="W7" s="25">
        <f>U7*47.9/(47.9+15.99*2)*10000</f>
        <v>12773.51555283561</v>
      </c>
      <c r="X7" s="25">
        <f>V7*47.9/(47.9+15.99*2)*10000</f>
        <v>228.63457727793093</v>
      </c>
      <c r="Y7" s="4"/>
      <c r="Z7" s="26" t="s">
        <v>141</v>
      </c>
      <c r="AA7" s="28">
        <f>(2.09+2.13)/2</f>
        <v>2.11</v>
      </c>
      <c r="AB7" s="7">
        <v>1.47</v>
      </c>
      <c r="AC7" s="7">
        <v>2.69</v>
      </c>
      <c r="AD7" s="29">
        <f>AA7*47.9/(47.9+15.99*2)*10000</f>
        <v>12652.603905858788</v>
      </c>
      <c r="AE7" s="29">
        <f>AB7*47.9/(47.9+15.99*2)*10000</f>
        <v>8814.847270906359</v>
      </c>
      <c r="AF7" s="29">
        <f>AC7*47.9/(47.9+15.99*2)*10000</f>
        <v>16130.570856284427</v>
      </c>
      <c r="AG7" s="29">
        <f t="shared" si="2"/>
        <v>3837.7566349524295</v>
      </c>
      <c r="AH7" s="29">
        <f t="shared" si="3"/>
        <v>3477.9669504256381</v>
      </c>
      <c r="AI7" s="8"/>
      <c r="AJ7" s="38">
        <f t="shared" si="4"/>
        <v>0.95562658782697918</v>
      </c>
      <c r="AK7" s="3"/>
    </row>
    <row r="8" spans="1:37">
      <c r="A8" s="1" t="s">
        <v>2</v>
      </c>
      <c r="B8" s="1" t="s">
        <v>92</v>
      </c>
      <c r="C8" s="3">
        <v>14.038410684738887</v>
      </c>
      <c r="D8" s="3">
        <v>13.737125992828799</v>
      </c>
      <c r="E8" s="3">
        <v>13.975682458639346</v>
      </c>
      <c r="F8" s="3">
        <v>14.005447769328654</v>
      </c>
      <c r="G8" s="3">
        <v>13.930814313386389</v>
      </c>
      <c r="H8" s="3">
        <v>13.617329617709329</v>
      </c>
      <c r="I8" s="3">
        <v>13.946830863525118</v>
      </c>
      <c r="J8" s="3">
        <v>13.952773887385083</v>
      </c>
      <c r="K8" s="3">
        <v>13.883576266972677</v>
      </c>
      <c r="L8" s="3">
        <v>13.940444815459026</v>
      </c>
      <c r="M8" s="3">
        <v>13.598786895628713</v>
      </c>
      <c r="N8" s="3">
        <v>14.116771509336795</v>
      </c>
      <c r="O8" s="3">
        <v>13.6702578072645</v>
      </c>
      <c r="P8" s="3">
        <v>14.01244904609892</v>
      </c>
      <c r="Q8" s="3">
        <v>13.701735719729495</v>
      </c>
      <c r="R8" s="3">
        <v>14.061343750678574</v>
      </c>
      <c r="S8" s="3">
        <v>13.675524343336967</v>
      </c>
      <c r="T8" s="3">
        <v>13.7751929688571</v>
      </c>
      <c r="U8" s="39">
        <f t="shared" si="0"/>
        <v>13.868916595050244</v>
      </c>
      <c r="V8" s="40">
        <f t="shared" si="1"/>
        <v>0.16580095332498818</v>
      </c>
      <c r="W8" s="25">
        <f>U8*54/(54+15.99*3)*10000</f>
        <v>73445.277643690613</v>
      </c>
      <c r="X8" s="25">
        <f>V8*54/(54+15.99*3)*10000</f>
        <v>878.0279964253566</v>
      </c>
      <c r="Y8" s="4"/>
      <c r="Z8" s="26" t="s">
        <v>142</v>
      </c>
      <c r="AA8" s="28">
        <f>(13.4+13.6)/2</f>
        <v>13.5</v>
      </c>
      <c r="AB8" s="6">
        <v>12.4</v>
      </c>
      <c r="AC8" s="6">
        <v>14.2</v>
      </c>
      <c r="AD8" s="29">
        <f>AA8*54/(54+15.99*3)*10000</f>
        <v>71491.615180935565</v>
      </c>
      <c r="AE8" s="29">
        <f>AB8*54/(54+15.99*3)*10000</f>
        <v>65666.372462488973</v>
      </c>
      <c r="AF8" s="29">
        <f>AC8*54/(54+15.99*3)*10000</f>
        <v>75198.587819947032</v>
      </c>
      <c r="AG8" s="29">
        <f t="shared" si="2"/>
        <v>5825.2427184465923</v>
      </c>
      <c r="AH8" s="29">
        <f t="shared" si="3"/>
        <v>3706.9726390114665</v>
      </c>
      <c r="AI8" s="8"/>
      <c r="AJ8" s="38">
        <f t="shared" si="4"/>
        <v>2.7327155188907035</v>
      </c>
      <c r="AK8" s="3"/>
    </row>
    <row r="9" spans="1:37">
      <c r="A9" s="1" t="s">
        <v>9</v>
      </c>
      <c r="B9" s="1" t="s">
        <v>92</v>
      </c>
      <c r="C9" s="3">
        <v>11.890633416240972</v>
      </c>
      <c r="D9" s="3">
        <v>11.933518675458817</v>
      </c>
      <c r="E9" s="3">
        <v>11.446670400057663</v>
      </c>
      <c r="F9" s="3">
        <v>12.873405448713161</v>
      </c>
      <c r="G9" s="3">
        <v>11.866969176985712</v>
      </c>
      <c r="H9" s="3">
        <v>10.622671326219194</v>
      </c>
      <c r="I9" s="3">
        <v>11.162375153495217</v>
      </c>
      <c r="J9" s="3">
        <v>10.962348655684499</v>
      </c>
      <c r="K9" s="3">
        <v>11.314352464821836</v>
      </c>
      <c r="L9" s="3">
        <v>11.756975314160838</v>
      </c>
      <c r="M9" s="3">
        <v>11.596847764780113</v>
      </c>
      <c r="N9" s="3">
        <v>12.55378942889509</v>
      </c>
      <c r="O9" s="3">
        <v>11.21474703796126</v>
      </c>
      <c r="P9" s="3">
        <v>12.228512826752265</v>
      </c>
      <c r="Q9" s="3">
        <v>11.540332284529493</v>
      </c>
      <c r="R9" s="3">
        <v>11.945898775112092</v>
      </c>
      <c r="S9" s="3">
        <v>11.232472489994967</v>
      </c>
      <c r="T9" s="3">
        <v>11.115692899641424</v>
      </c>
      <c r="U9" s="39">
        <f t="shared" si="0"/>
        <v>11.625456307750255</v>
      </c>
      <c r="V9" s="40">
        <f t="shared" si="1"/>
        <v>0.56910209561107072</v>
      </c>
      <c r="W9" s="25">
        <f>U9*55.8/(55.8+15.99)*10000</f>
        <v>90360.838831656831</v>
      </c>
      <c r="X9" s="25">
        <f>V9*55.8/(55.8+15.99)*10000</f>
        <v>4423.4429495887653</v>
      </c>
      <c r="Y9" s="4"/>
      <c r="Z9" s="26" t="s">
        <v>93</v>
      </c>
      <c r="AA9" s="28">
        <v>10.9</v>
      </c>
      <c r="AB9" s="6">
        <v>10.6</v>
      </c>
      <c r="AC9" s="6">
        <v>11.6</v>
      </c>
      <c r="AD9" s="29">
        <f>AA9*55.8/(55.8+15.99)*10000</f>
        <v>84722.106142916848</v>
      </c>
      <c r="AE9" s="29">
        <f>AB9*55.8/(55.8+15.99)*10000</f>
        <v>82390.305056414538</v>
      </c>
      <c r="AF9" s="29">
        <f>AC9*55.8/(55.8+15.99)*10000</f>
        <v>90162.975344755556</v>
      </c>
      <c r="AG9" s="29">
        <f t="shared" si="2"/>
        <v>2331.8010865023098</v>
      </c>
      <c r="AH9" s="29">
        <f t="shared" si="3"/>
        <v>5440.8692018387082</v>
      </c>
      <c r="AI9" s="8"/>
      <c r="AJ9" s="38">
        <f t="shared" si="4"/>
        <v>6.6555624564243754</v>
      </c>
      <c r="AK9" s="3"/>
    </row>
    <row r="10" spans="1:37">
      <c r="A10" s="1" t="s">
        <v>8</v>
      </c>
      <c r="B10" s="1" t="s">
        <v>92</v>
      </c>
      <c r="C10" s="10">
        <v>0.1732093968095206</v>
      </c>
      <c r="D10" s="10">
        <v>0.1706632278353033</v>
      </c>
      <c r="E10" s="10">
        <v>0.1754171722989939</v>
      </c>
      <c r="F10" s="10">
        <v>0.17168981888882071</v>
      </c>
      <c r="G10" s="10">
        <v>0.17459054707464911</v>
      </c>
      <c r="H10" s="10">
        <v>0.16936492597289421</v>
      </c>
      <c r="I10" s="10">
        <v>0.17510674324734252</v>
      </c>
      <c r="J10" s="10">
        <v>0.17502746482779802</v>
      </c>
      <c r="K10" s="10">
        <v>0.17226878016910613</v>
      </c>
      <c r="L10" s="10">
        <v>0.1756766430112221</v>
      </c>
      <c r="M10" s="10">
        <v>0.17474837131680748</v>
      </c>
      <c r="N10" s="10">
        <v>0.17733639083814995</v>
      </c>
      <c r="O10" s="10">
        <v>0.1718676545112896</v>
      </c>
      <c r="P10" s="10">
        <v>0.1789041892236807</v>
      </c>
      <c r="Q10" s="10">
        <v>0.17381544996255022</v>
      </c>
      <c r="R10" s="10">
        <v>0.18066122309417545</v>
      </c>
      <c r="S10" s="10">
        <v>0.1761655981869116</v>
      </c>
      <c r="T10" s="10">
        <v>0.17607324699673357</v>
      </c>
      <c r="U10" s="40">
        <f t="shared" si="0"/>
        <v>0.17458815801477492</v>
      </c>
      <c r="V10" s="40">
        <f t="shared" si="1"/>
        <v>2.8334432114436202E-3</v>
      </c>
      <c r="W10" s="25">
        <f>U10*54.9/(54.9+15.99)*10000</f>
        <v>1352.0792601228866</v>
      </c>
      <c r="X10" s="17">
        <f>V10*54.9/(54.9+15.99)*10000</f>
        <v>21.94329698240298</v>
      </c>
      <c r="Y10" s="4"/>
      <c r="Z10" s="26" t="s">
        <v>8</v>
      </c>
      <c r="AA10" s="30">
        <f>(0.169+0.17)/2</f>
        <v>0.16950000000000001</v>
      </c>
      <c r="AB10" s="7">
        <v>0.14199999999999999</v>
      </c>
      <c r="AC10" s="7">
        <v>0.52</v>
      </c>
      <c r="AD10" s="29">
        <f>AA10*54.9/(54.9+15.99)*10000</f>
        <v>1312.6745662293695</v>
      </c>
      <c r="AE10" s="29">
        <f>AB10*54.9/(54.9+15.99)*10000</f>
        <v>1099.7037663986455</v>
      </c>
      <c r="AF10" s="29">
        <f>AC10*54.9/(54.9+15.99)*10000</f>
        <v>4027.0842149809564</v>
      </c>
      <c r="AG10" s="29">
        <f t="shared" si="2"/>
        <v>212.97079983072399</v>
      </c>
      <c r="AH10" s="29">
        <f t="shared" si="3"/>
        <v>2714.4096487515872</v>
      </c>
      <c r="AI10" s="8"/>
      <c r="AJ10" s="38">
        <f t="shared" si="4"/>
        <v>3.0018631355604208</v>
      </c>
      <c r="AK10" s="3"/>
    </row>
    <row r="11" spans="1:37">
      <c r="A11" s="1" t="s">
        <v>1</v>
      </c>
      <c r="B11" s="1" t="s">
        <v>92</v>
      </c>
      <c r="C11" s="10">
        <v>6.7916981515432298</v>
      </c>
      <c r="D11" s="10">
        <v>6.4265079201115132</v>
      </c>
      <c r="E11" s="10">
        <v>6.493096276984013</v>
      </c>
      <c r="F11" s="10">
        <v>6.543753448326739</v>
      </c>
      <c r="G11" s="10">
        <v>6.7473107371141126</v>
      </c>
      <c r="H11" s="10">
        <v>6.5344114449592379</v>
      </c>
      <c r="I11" s="10">
        <v>6.8584333252793472</v>
      </c>
      <c r="J11" s="10">
        <v>6.9903317032874277</v>
      </c>
      <c r="K11" s="10">
        <v>6.7687212314769685</v>
      </c>
      <c r="L11" s="10">
        <v>6.8809919712918095</v>
      </c>
      <c r="M11" s="10">
        <v>6.6058075252391326</v>
      </c>
      <c r="N11" s="10">
        <v>6.8272443669161307</v>
      </c>
      <c r="O11" s="10">
        <v>6.7178863262603912</v>
      </c>
      <c r="P11" s="10">
        <v>6.8455137500082719</v>
      </c>
      <c r="Q11" s="10">
        <v>6.6189572076754724</v>
      </c>
      <c r="R11" s="10">
        <v>6.8277914592637448</v>
      </c>
      <c r="S11" s="10">
        <v>6.2730557666031048</v>
      </c>
      <c r="T11" s="10">
        <v>6.4261054343212116</v>
      </c>
      <c r="U11" s="40">
        <f t="shared" si="0"/>
        <v>6.6765343359256599</v>
      </c>
      <c r="V11" s="40">
        <f t="shared" si="1"/>
        <v>0.19460443296065391</v>
      </c>
      <c r="W11" s="25">
        <f>U11*24.3/(24.3+15.99)*10000</f>
        <v>40268.003068501741</v>
      </c>
      <c r="X11" s="25">
        <f>V11*24.3/(24.3+15.99)*10000</f>
        <v>1173.7125145058053</v>
      </c>
      <c r="Y11" s="4"/>
      <c r="Z11" s="27" t="s">
        <v>1</v>
      </c>
      <c r="AA11" s="30">
        <f>(6.56+6.59)/2</f>
        <v>6.5749999999999993</v>
      </c>
      <c r="AB11" s="7">
        <v>5.89</v>
      </c>
      <c r="AC11" s="7">
        <v>6.82</v>
      </c>
      <c r="AD11" s="29">
        <f>AA11*24.3/(24.3+15.99)*10000</f>
        <v>39655.621742367832</v>
      </c>
      <c r="AE11" s="29">
        <f>AB11*24.3/(24.3+15.99)*10000</f>
        <v>35524.199553239021</v>
      </c>
      <c r="AF11" s="29">
        <f>AC11*24.3/(24.3+15.99)*10000</f>
        <v>41133.283693224126</v>
      </c>
      <c r="AG11" s="29">
        <f t="shared" si="2"/>
        <v>4131.4221891288107</v>
      </c>
      <c r="AH11" s="29">
        <f t="shared" si="3"/>
        <v>1477.6619508562944</v>
      </c>
      <c r="AI11" s="8"/>
      <c r="AJ11" s="38">
        <f t="shared" si="4"/>
        <v>1.5442484551431066</v>
      </c>
      <c r="AK11" s="3"/>
    </row>
    <row r="12" spans="1:37">
      <c r="A12" s="1" t="s">
        <v>6</v>
      </c>
      <c r="B12" s="1" t="s">
        <v>92</v>
      </c>
      <c r="C12" s="3">
        <v>10.754470267551904</v>
      </c>
      <c r="D12" s="3">
        <v>10.569568750956307</v>
      </c>
      <c r="E12" s="3">
        <v>10.779675558366558</v>
      </c>
      <c r="F12" s="3">
        <v>10.702201450051358</v>
      </c>
      <c r="G12" s="3">
        <v>10.659393168278585</v>
      </c>
      <c r="H12" s="3">
        <v>10.55914583298371</v>
      </c>
      <c r="I12" s="3">
        <v>10.717637476046299</v>
      </c>
      <c r="J12" s="3">
        <v>11.014203894278877</v>
      </c>
      <c r="K12" s="3">
        <v>10.70299581878375</v>
      </c>
      <c r="L12" s="3">
        <v>10.639380127620464</v>
      </c>
      <c r="M12" s="3">
        <v>10.616038948913728</v>
      </c>
      <c r="N12" s="3">
        <v>10.853602279417473</v>
      </c>
      <c r="O12" s="3">
        <v>10.567019674848034</v>
      </c>
      <c r="P12" s="3">
        <v>10.614019261850469</v>
      </c>
      <c r="Q12" s="3">
        <v>10.788089187137249</v>
      </c>
      <c r="R12" s="3">
        <v>10.93272482065472</v>
      </c>
      <c r="S12" s="3">
        <v>10.613043894180091</v>
      </c>
      <c r="T12" s="3">
        <v>10.767368941534238</v>
      </c>
      <c r="U12" s="39">
        <f t="shared" si="0"/>
        <v>10.713921075191879</v>
      </c>
      <c r="V12" s="40">
        <f t="shared" si="1"/>
        <v>0.12760043534359022</v>
      </c>
      <c r="W12" s="25">
        <f>U12*40.1/(40.1+15.99)*10000</f>
        <v>76596.226620644375</v>
      </c>
      <c r="X12" s="25">
        <f>V12*40.1/(40.1+15.99)*10000</f>
        <v>912.24415355285578</v>
      </c>
      <c r="Y12" s="4"/>
      <c r="Z12" s="27" t="s">
        <v>6</v>
      </c>
      <c r="AA12" s="28">
        <v>10.5</v>
      </c>
      <c r="AB12" s="7">
        <v>9.1</v>
      </c>
      <c r="AC12" s="6">
        <v>10.8</v>
      </c>
      <c r="AD12" s="29">
        <f>AA12*40.1/(40.1+15.99)*10000</f>
        <v>75066.856837225889</v>
      </c>
      <c r="AE12" s="29">
        <f>AB12*40.1/(40.1+15.99)*10000</f>
        <v>65057.942592262436</v>
      </c>
      <c r="AF12" s="29">
        <f>AC12*40.1/(40.1+15.99)*10000</f>
        <v>77211.624175432342</v>
      </c>
      <c r="AG12" s="29">
        <f t="shared" si="2"/>
        <v>10008.914244963453</v>
      </c>
      <c r="AH12" s="29">
        <f t="shared" si="3"/>
        <v>2144.7673382064531</v>
      </c>
      <c r="AI12" s="8"/>
      <c r="AJ12" s="38">
        <f t="shared" si="4"/>
        <v>2.0373435732559764</v>
      </c>
      <c r="AK12" s="3"/>
    </row>
    <row r="13" spans="1:37">
      <c r="A13" s="1" t="s">
        <v>0</v>
      </c>
      <c r="B13" s="1" t="s">
        <v>92</v>
      </c>
      <c r="C13" s="10">
        <v>2.3418342229893501</v>
      </c>
      <c r="D13" s="10">
        <v>2.3456777427373523</v>
      </c>
      <c r="E13" s="10">
        <v>2.3859818700369742</v>
      </c>
      <c r="F13" s="10">
        <v>2.356595807238139</v>
      </c>
      <c r="G13" s="10">
        <v>2.3603017737754222</v>
      </c>
      <c r="H13" s="10">
        <v>2.3135002438268946</v>
      </c>
      <c r="I13" s="10">
        <v>2.3527931141556437</v>
      </c>
      <c r="J13" s="10">
        <v>2.3546866655730709</v>
      </c>
      <c r="K13" s="10">
        <v>2.3652918547288926</v>
      </c>
      <c r="L13" s="10">
        <v>2.3562081553404908</v>
      </c>
      <c r="M13" s="10">
        <v>2.4400060579520533</v>
      </c>
      <c r="N13" s="10">
        <v>2.4803029801960785</v>
      </c>
      <c r="O13" s="10">
        <v>2.4167710474053714</v>
      </c>
      <c r="P13" s="10">
        <v>2.4568271362573033</v>
      </c>
      <c r="Q13" s="10">
        <v>2.3670798956767993</v>
      </c>
      <c r="R13" s="10">
        <v>2.4658948091882205</v>
      </c>
      <c r="S13" s="10">
        <v>2.4681092079996714</v>
      </c>
      <c r="T13" s="10">
        <v>2.4271823193802149</v>
      </c>
      <c r="U13" s="40">
        <f t="shared" si="0"/>
        <v>2.3919469391365529</v>
      </c>
      <c r="V13" s="40">
        <f t="shared" si="1"/>
        <v>5.2059263679820958E-2</v>
      </c>
      <c r="W13" s="25">
        <f>U13*46/(46+15.99)*10000</f>
        <v>17749.565930034107</v>
      </c>
      <c r="X13" s="17">
        <f>V13*46/(46+15.99)*10000</f>
        <v>386.30845769830034</v>
      </c>
      <c r="Y13" s="4"/>
      <c r="Z13" s="27" t="s">
        <v>143</v>
      </c>
      <c r="AA13" s="30">
        <f>(2.35+2.4)/2</f>
        <v>2.375</v>
      </c>
      <c r="AB13" s="7">
        <v>2.29</v>
      </c>
      <c r="AC13" s="7">
        <v>2.69</v>
      </c>
      <c r="AD13" s="29">
        <f>AA13*46/(46+15.99)*10000</f>
        <v>17623.81029198258</v>
      </c>
      <c r="AE13" s="29">
        <f>AB13*46/(46+15.99)*10000</f>
        <v>16993.063397322148</v>
      </c>
      <c r="AF13" s="29">
        <f>AC13*46/(46+15.99)*10000</f>
        <v>19961.284078077108</v>
      </c>
      <c r="AG13" s="29">
        <f t="shared" si="2"/>
        <v>630.74689466043128</v>
      </c>
      <c r="AH13" s="29">
        <f t="shared" si="3"/>
        <v>2337.4737860945279</v>
      </c>
      <c r="AI13" s="8"/>
      <c r="AJ13" s="38">
        <f t="shared" si="4"/>
        <v>0.71355533206536947</v>
      </c>
      <c r="AK13" s="3"/>
    </row>
    <row r="14" spans="1:37">
      <c r="A14" s="1" t="s">
        <v>5</v>
      </c>
      <c r="B14" s="1" t="s">
        <v>92</v>
      </c>
      <c r="C14" s="10">
        <v>0.38089462311678729</v>
      </c>
      <c r="D14" s="10">
        <v>0.38269568006816396</v>
      </c>
      <c r="E14" s="10">
        <v>0.40738490241727021</v>
      </c>
      <c r="F14" s="10">
        <v>0.40728913016874424</v>
      </c>
      <c r="G14" s="10">
        <v>0.40001811340424015</v>
      </c>
      <c r="H14" s="10">
        <v>0.39038040289131537</v>
      </c>
      <c r="I14" s="10">
        <v>0.4016836130067708</v>
      </c>
      <c r="J14" s="10">
        <v>0.40673834168237177</v>
      </c>
      <c r="K14" s="10">
        <v>0.40408246224992617</v>
      </c>
      <c r="L14" s="10">
        <v>0.4052084649165299</v>
      </c>
      <c r="M14" s="10">
        <v>0.41088367244519425</v>
      </c>
      <c r="N14" s="10">
        <v>0.40508396716193074</v>
      </c>
      <c r="O14" s="10">
        <v>0.40107355563816449</v>
      </c>
      <c r="P14" s="10">
        <v>0.40714454187726784</v>
      </c>
      <c r="Q14" s="10">
        <v>0.40055429750177224</v>
      </c>
      <c r="R14" s="10">
        <v>0.40757064485073385</v>
      </c>
      <c r="S14" s="10">
        <v>0.40161889475615847</v>
      </c>
      <c r="T14" s="10">
        <v>0.39408397289559588</v>
      </c>
      <c r="U14" s="40">
        <f t="shared" si="0"/>
        <v>0.40079940450271873</v>
      </c>
      <c r="V14" s="40">
        <f t="shared" si="1"/>
        <v>8.529987923906095E-3</v>
      </c>
      <c r="W14" s="25">
        <f>U14*78.2/(78.2+15.99)*10000</f>
        <v>3327.5839719835021</v>
      </c>
      <c r="X14" s="17">
        <f>V14*78.2/(78.2+15.99)*10000</f>
        <v>70.819094983486224</v>
      </c>
      <c r="Y14" s="4"/>
      <c r="Z14" s="27" t="s">
        <v>144</v>
      </c>
      <c r="AA14" s="30">
        <f>(0.383+0.385)/2</f>
        <v>0.38400000000000001</v>
      </c>
      <c r="AB14" s="7">
        <v>0.35</v>
      </c>
      <c r="AC14" s="7">
        <v>0.4</v>
      </c>
      <c r="AD14" s="29">
        <f>AA14*78.2/(78.2+15.99)*10000</f>
        <v>3188.1091410977815</v>
      </c>
      <c r="AE14" s="29">
        <f>AB14*78.2/(78.2+15.99)*10000</f>
        <v>2905.8286442297485</v>
      </c>
      <c r="AF14" s="29">
        <f>AC14*78.2/(78.2+15.99)*10000</f>
        <v>3320.9470219768555</v>
      </c>
      <c r="AG14" s="29">
        <f t="shared" si="2"/>
        <v>282.28049686803297</v>
      </c>
      <c r="AH14" s="29">
        <f t="shared" si="3"/>
        <v>132.83788087907396</v>
      </c>
      <c r="AI14" s="8"/>
      <c r="AJ14" s="38">
        <f t="shared" si="4"/>
        <v>4.3748449225829944</v>
      </c>
      <c r="AK14" s="3"/>
    </row>
    <row r="15" spans="1:37">
      <c r="A15" s="1" t="s">
        <v>4</v>
      </c>
      <c r="B15" s="1" t="s">
        <v>92</v>
      </c>
      <c r="C15" s="10">
        <v>0.23633673336897551</v>
      </c>
      <c r="D15" s="10">
        <v>0.24933490436894695</v>
      </c>
      <c r="E15" s="10">
        <v>0.23714554265554599</v>
      </c>
      <c r="F15" s="10">
        <v>0.23918921211034572</v>
      </c>
      <c r="G15" s="10">
        <v>0.26354858028407396</v>
      </c>
      <c r="H15" s="10">
        <v>0.25985395698167346</v>
      </c>
      <c r="I15" s="10">
        <v>0.23938839825395508</v>
      </c>
      <c r="J15" s="10">
        <v>0.22537375704340853</v>
      </c>
      <c r="K15" s="10">
        <v>0.23315834881314515</v>
      </c>
      <c r="L15" s="10">
        <v>0.23703530124496955</v>
      </c>
      <c r="M15" s="10">
        <v>0.23964749172259506</v>
      </c>
      <c r="N15" s="10">
        <v>0.22615527908405492</v>
      </c>
      <c r="O15" s="10">
        <v>0.23979534045552361</v>
      </c>
      <c r="P15" s="10">
        <v>0.26030699240275995</v>
      </c>
      <c r="Q15" s="10">
        <v>0.23816008113876128</v>
      </c>
      <c r="R15" s="10">
        <v>0.24781734052553367</v>
      </c>
      <c r="S15" s="10">
        <v>0.2444484164007962</v>
      </c>
      <c r="T15" s="10">
        <v>0.23272467449036538</v>
      </c>
      <c r="U15" s="40">
        <f t="shared" si="0"/>
        <v>0.24163446396363497</v>
      </c>
      <c r="V15" s="40">
        <f t="shared" si="1"/>
        <v>1.0904192236505775E-2</v>
      </c>
      <c r="W15" s="25">
        <f>U15*62/(62+15.99*5)*10000</f>
        <v>1055.3953339729039</v>
      </c>
      <c r="X15" s="17">
        <f>V15*62/(62+15.99*5)*10000</f>
        <v>47.626623364801553</v>
      </c>
      <c r="Y15" s="4"/>
      <c r="Z15" s="27" t="s">
        <v>145</v>
      </c>
      <c r="AA15" s="30">
        <f>(0.23+0.24)/2</f>
        <v>0.23499999999999999</v>
      </c>
      <c r="AB15" s="7">
        <v>0.19</v>
      </c>
      <c r="AC15" s="7">
        <v>0.3</v>
      </c>
      <c r="AD15" s="29">
        <f>AA15*62/(62+15.99*5)*10000</f>
        <v>1026.4177527298345</v>
      </c>
      <c r="AE15" s="29">
        <f>AB15*62/(62+15.99*5)*10000</f>
        <v>829.86967241986622</v>
      </c>
      <c r="AF15" s="29">
        <f>AC15*62/(62+15.99*5)*10000</f>
        <v>1310.3205353997885</v>
      </c>
      <c r="AG15" s="29">
        <f t="shared" si="2"/>
        <v>196.54808030996833</v>
      </c>
      <c r="AH15" s="29">
        <f t="shared" si="3"/>
        <v>283.90278266995392</v>
      </c>
      <c r="AI15" s="8"/>
      <c r="AJ15" s="38">
        <f t="shared" si="4"/>
        <v>2.8231761547382965</v>
      </c>
      <c r="AK15" s="3"/>
    </row>
    <row r="16" spans="1:37">
      <c r="A16" s="1" t="s">
        <v>13</v>
      </c>
      <c r="B16" s="1" t="s">
        <v>94</v>
      </c>
      <c r="C16" s="3">
        <v>33.931842916536965</v>
      </c>
      <c r="D16" s="3">
        <v>32.174502453078397</v>
      </c>
      <c r="E16" s="3">
        <v>35.283666537721523</v>
      </c>
      <c r="F16" s="3">
        <v>33.710306501997529</v>
      </c>
      <c r="G16" s="3">
        <v>32.331112911233987</v>
      </c>
      <c r="H16" s="3">
        <v>32.379057507989991</v>
      </c>
      <c r="I16" s="3">
        <v>32.376310367804102</v>
      </c>
      <c r="J16" s="3">
        <v>31.541676938810046</v>
      </c>
      <c r="K16" s="3">
        <v>30.349595805240327</v>
      </c>
      <c r="L16" s="3">
        <v>31.185668227584539</v>
      </c>
      <c r="M16" s="3">
        <v>32.868932834878819</v>
      </c>
      <c r="N16" s="3">
        <v>32.284375453304996</v>
      </c>
      <c r="O16" s="3">
        <v>31.784288884922383</v>
      </c>
      <c r="P16" s="3">
        <v>31.467683923809616</v>
      </c>
      <c r="Q16" s="3">
        <v>30.463157880664717</v>
      </c>
      <c r="R16" s="3">
        <v>33.053446211091064</v>
      </c>
      <c r="S16" s="3">
        <v>31.262890638615509</v>
      </c>
      <c r="T16" s="3">
        <v>32.136631639102362</v>
      </c>
      <c r="U16" s="3"/>
      <c r="V16" s="7"/>
      <c r="W16" s="17">
        <f t="shared" ref="W16:W39" si="5">AVERAGE(C16:T16)</f>
        <v>32.254730424132603</v>
      </c>
      <c r="X16" s="18">
        <f t="shared" ref="X16:X39" si="6">STDEV(C16:T16)</f>
        <v>1.2245888225351211</v>
      </c>
      <c r="Y16" s="5"/>
      <c r="Z16" s="27" t="s">
        <v>13</v>
      </c>
      <c r="AA16" s="27"/>
      <c r="AB16" s="27"/>
      <c r="AC16" s="27"/>
      <c r="AD16" s="31">
        <f>(31.4+31.6)/2</f>
        <v>31.5</v>
      </c>
      <c r="AE16" s="27">
        <v>25.96</v>
      </c>
      <c r="AF16" s="7">
        <v>35.299999999999997</v>
      </c>
      <c r="AG16" s="31">
        <f t="shared" si="2"/>
        <v>5.5399999999999991</v>
      </c>
      <c r="AH16" s="31">
        <f t="shared" si="3"/>
        <v>3.7999999999999972</v>
      </c>
      <c r="AI16" s="8"/>
      <c r="AJ16" s="38">
        <f t="shared" si="4"/>
        <v>2.3959696004209623</v>
      </c>
      <c r="AK16" s="14"/>
    </row>
    <row r="17" spans="1:37">
      <c r="A17" s="1" t="s">
        <v>14</v>
      </c>
      <c r="B17" s="1" t="s">
        <v>94</v>
      </c>
      <c r="C17" s="11">
        <v>288.95172733616278</v>
      </c>
      <c r="D17" s="11">
        <v>284.15149152831759</v>
      </c>
      <c r="E17" s="11">
        <v>289.03384979180333</v>
      </c>
      <c r="F17" s="11">
        <v>291.25456598521856</v>
      </c>
      <c r="G17" s="11">
        <v>286.47808981252041</v>
      </c>
      <c r="H17" s="11">
        <v>280.95317259759747</v>
      </c>
      <c r="I17" s="11">
        <v>287.39437549357507</v>
      </c>
      <c r="J17" s="11">
        <v>292.84088941080313</v>
      </c>
      <c r="K17" s="11">
        <v>287.87626376475168</v>
      </c>
      <c r="L17" s="11">
        <v>286.831737780857</v>
      </c>
      <c r="M17" s="11">
        <v>283.08371030560636</v>
      </c>
      <c r="N17" s="11">
        <v>295.37927808381625</v>
      </c>
      <c r="O17" s="11">
        <v>281.79894480615184</v>
      </c>
      <c r="P17" s="11">
        <v>290.46564839701864</v>
      </c>
      <c r="Q17" s="11">
        <v>285.60026826769894</v>
      </c>
      <c r="R17" s="11">
        <v>293.38995415066086</v>
      </c>
      <c r="S17" s="11">
        <v>283.69241159978583</v>
      </c>
      <c r="T17" s="11">
        <v>285.59587700697523</v>
      </c>
      <c r="U17" s="11"/>
      <c r="V17" s="4"/>
      <c r="W17" s="25">
        <f t="shared" si="5"/>
        <v>287.4873475621846</v>
      </c>
      <c r="X17" s="18">
        <f t="shared" si="6"/>
        <v>4.0736163153600842</v>
      </c>
      <c r="Y17" s="5"/>
      <c r="Z17" s="27" t="s">
        <v>14</v>
      </c>
      <c r="AA17" s="27"/>
      <c r="AB17" s="27"/>
      <c r="AC17" s="27"/>
      <c r="AD17" s="28">
        <f>(240+268)/2</f>
        <v>254</v>
      </c>
      <c r="AE17" s="27">
        <v>188</v>
      </c>
      <c r="AF17" s="29">
        <v>374</v>
      </c>
      <c r="AG17" s="28">
        <f t="shared" si="2"/>
        <v>66</v>
      </c>
      <c r="AH17" s="28">
        <f t="shared" si="3"/>
        <v>120</v>
      </c>
      <c r="AI17" s="8"/>
      <c r="AJ17" s="38">
        <f t="shared" si="4"/>
        <v>13.183995103222282</v>
      </c>
      <c r="AK17" s="14"/>
    </row>
    <row r="18" spans="1:37">
      <c r="A18" s="1" t="s">
        <v>15</v>
      </c>
      <c r="B18" s="1" t="s">
        <v>94</v>
      </c>
      <c r="C18" s="11">
        <v>161.87611412918162</v>
      </c>
      <c r="D18" s="11">
        <v>151.61605483983945</v>
      </c>
      <c r="E18" s="11">
        <v>157.02143490432027</v>
      </c>
      <c r="F18" s="11">
        <v>158.88066892745584</v>
      </c>
      <c r="G18" s="11">
        <v>151.17224258454024</v>
      </c>
      <c r="H18" s="11">
        <v>152.52135068009213</v>
      </c>
      <c r="I18" s="11">
        <v>164.49010449673398</v>
      </c>
      <c r="J18" s="11">
        <v>180.41608202476203</v>
      </c>
      <c r="K18" s="11">
        <v>161.7083172275473</v>
      </c>
      <c r="L18" s="11">
        <v>138.50430776232818</v>
      </c>
      <c r="M18" s="11">
        <v>167.66013884266329</v>
      </c>
      <c r="N18" s="11">
        <v>158.46186276176218</v>
      </c>
      <c r="O18" s="11">
        <v>152.12603050283059</v>
      </c>
      <c r="P18" s="11">
        <v>148.9234171249777</v>
      </c>
      <c r="Q18" s="11">
        <v>152.56245805772778</v>
      </c>
      <c r="R18" s="11">
        <v>162.65770255058715</v>
      </c>
      <c r="S18" s="11">
        <v>165.32131827481572</v>
      </c>
      <c r="T18" s="11">
        <v>142.98042525621551</v>
      </c>
      <c r="U18" s="11"/>
      <c r="V18" s="4"/>
      <c r="W18" s="25">
        <f t="shared" si="5"/>
        <v>157.16111283046561</v>
      </c>
      <c r="X18" s="17">
        <f t="shared" si="6"/>
        <v>9.703803262151915</v>
      </c>
      <c r="Y18" s="5"/>
      <c r="Z18" s="27" t="s">
        <v>15</v>
      </c>
      <c r="AA18" s="27"/>
      <c r="AB18" s="27"/>
      <c r="AC18" s="27"/>
      <c r="AD18" s="28">
        <f>(170+177)/2</f>
        <v>173.5</v>
      </c>
      <c r="AE18" s="27">
        <v>140</v>
      </c>
      <c r="AF18" s="29">
        <v>600</v>
      </c>
      <c r="AG18" s="28">
        <f t="shared" si="2"/>
        <v>33.5</v>
      </c>
      <c r="AH18" s="28">
        <f t="shared" si="3"/>
        <v>426.5</v>
      </c>
      <c r="AI18" s="8"/>
      <c r="AJ18" s="38">
        <f t="shared" si="4"/>
        <v>-9.4172260343137673</v>
      </c>
      <c r="AK18" s="14"/>
    </row>
    <row r="19" spans="1:37">
      <c r="A19" s="1" t="s">
        <v>16</v>
      </c>
      <c r="B19" s="1" t="s">
        <v>94</v>
      </c>
      <c r="C19" s="3">
        <v>44.371224704562586</v>
      </c>
      <c r="D19" s="3">
        <v>41.861904204250941</v>
      </c>
      <c r="E19" s="3">
        <v>44.934426031655534</v>
      </c>
      <c r="F19" s="3">
        <v>43.668778405468487</v>
      </c>
      <c r="G19" s="3">
        <v>43.778360412511269</v>
      </c>
      <c r="H19" s="3">
        <v>41.974974430987814</v>
      </c>
      <c r="I19" s="3">
        <v>43.101047471433965</v>
      </c>
      <c r="J19" s="3">
        <v>43.642109506874803</v>
      </c>
      <c r="K19" s="3">
        <v>42.64915435699735</v>
      </c>
      <c r="L19" s="3">
        <v>44.123366352047313</v>
      </c>
      <c r="M19" s="3">
        <v>43.756637194317527</v>
      </c>
      <c r="N19" s="3">
        <v>44.115117215541275</v>
      </c>
      <c r="O19" s="3">
        <v>42.713297902542678</v>
      </c>
      <c r="P19" s="3">
        <v>44.644267860906979</v>
      </c>
      <c r="Q19" s="3">
        <v>43.629807352464844</v>
      </c>
      <c r="R19" s="3">
        <v>44.391142503793212</v>
      </c>
      <c r="S19" s="3">
        <v>44.472812429893004</v>
      </c>
      <c r="T19" s="3">
        <v>44.235534241471122</v>
      </c>
      <c r="U19" s="3"/>
      <c r="V19" s="4"/>
      <c r="W19" s="17">
        <f t="shared" si="5"/>
        <v>43.670220143206706</v>
      </c>
      <c r="X19" s="18">
        <f t="shared" si="6"/>
        <v>0.88692517553645833</v>
      </c>
      <c r="Y19" s="5"/>
      <c r="Z19" s="27" t="s">
        <v>16</v>
      </c>
      <c r="AA19" s="27"/>
      <c r="AB19" s="27"/>
      <c r="AC19" s="27"/>
      <c r="AD19" s="28">
        <f>(39+41.2)/2</f>
        <v>40.1</v>
      </c>
      <c r="AE19" s="27">
        <v>28</v>
      </c>
      <c r="AF19" s="6">
        <v>52.9</v>
      </c>
      <c r="AG19" s="28">
        <f t="shared" si="2"/>
        <v>12.100000000000001</v>
      </c>
      <c r="AH19" s="28">
        <f t="shared" si="3"/>
        <v>12.799999999999997</v>
      </c>
      <c r="AI19" s="8"/>
      <c r="AJ19" s="38">
        <f t="shared" si="4"/>
        <v>8.903292127697517</v>
      </c>
      <c r="AK19" s="14"/>
    </row>
    <row r="20" spans="1:37">
      <c r="A20" s="1" t="s">
        <v>17</v>
      </c>
      <c r="B20" s="1" t="s">
        <v>94</v>
      </c>
      <c r="C20" s="11">
        <v>108.62960189156244</v>
      </c>
      <c r="D20" s="11">
        <v>104.5802151853101</v>
      </c>
      <c r="E20" s="11">
        <v>108.89003979555189</v>
      </c>
      <c r="F20" s="11">
        <v>108.54248945811328</v>
      </c>
      <c r="G20" s="11">
        <v>103.59860685608741</v>
      </c>
      <c r="H20" s="11">
        <v>103.52140778726596</v>
      </c>
      <c r="I20" s="11">
        <v>108.17897521611039</v>
      </c>
      <c r="J20" s="11">
        <v>112.91768216920354</v>
      </c>
      <c r="K20" s="11">
        <v>107.50698029635883</v>
      </c>
      <c r="L20" s="11">
        <v>107.81288742648427</v>
      </c>
      <c r="M20" s="11">
        <v>113.00519062717987</v>
      </c>
      <c r="N20" s="11">
        <v>111.18207715893368</v>
      </c>
      <c r="O20" s="11">
        <v>107.39319860290466</v>
      </c>
      <c r="P20" s="11">
        <v>106.14192127355618</v>
      </c>
      <c r="Q20" s="11">
        <v>111.68579121152455</v>
      </c>
      <c r="R20" s="11">
        <v>112.51659720834979</v>
      </c>
      <c r="S20" s="11">
        <v>110.46284440067612</v>
      </c>
      <c r="T20" s="11">
        <v>113.04799484406365</v>
      </c>
      <c r="U20" s="11"/>
      <c r="V20" s="4"/>
      <c r="W20" s="25">
        <f t="shared" si="5"/>
        <v>108.86747230051316</v>
      </c>
      <c r="X20" s="18">
        <f t="shared" si="6"/>
        <v>3.1444365318631635</v>
      </c>
      <c r="Y20" s="5"/>
      <c r="Z20" s="27" t="s">
        <v>17</v>
      </c>
      <c r="AA20" s="27"/>
      <c r="AB20" s="27"/>
      <c r="AC20" s="27"/>
      <c r="AD20" s="28">
        <f>(105+107)/2</f>
        <v>106</v>
      </c>
      <c r="AE20" s="35">
        <v>70</v>
      </c>
      <c r="AF20" s="29">
        <v>170</v>
      </c>
      <c r="AG20" s="28">
        <f t="shared" si="2"/>
        <v>36</v>
      </c>
      <c r="AH20" s="28">
        <f t="shared" si="3"/>
        <v>64</v>
      </c>
      <c r="AI20" s="8"/>
      <c r="AJ20" s="38">
        <f t="shared" si="4"/>
        <v>2.7051625476539214</v>
      </c>
      <c r="AK20" s="14"/>
    </row>
    <row r="21" spans="1:37">
      <c r="A21" s="1" t="s">
        <v>18</v>
      </c>
      <c r="B21" s="1" t="s">
        <v>94</v>
      </c>
      <c r="C21" s="11">
        <v>119.35593970971335</v>
      </c>
      <c r="D21" s="11">
        <v>125.79277137941277</v>
      </c>
      <c r="E21" s="11">
        <v>121.65733807575189</v>
      </c>
      <c r="F21" s="11">
        <v>117.5158856983537</v>
      </c>
      <c r="G21" s="11">
        <v>125.1037110551848</v>
      </c>
      <c r="H21" s="11">
        <v>118.9461403456997</v>
      </c>
      <c r="I21" s="11">
        <v>125.35733098329406</v>
      </c>
      <c r="J21" s="11">
        <v>106.48539169397601</v>
      </c>
      <c r="K21" s="11">
        <v>115.8385372600214</v>
      </c>
      <c r="L21" s="11">
        <v>142.34618317493104</v>
      </c>
      <c r="M21" s="11">
        <v>118.83790137495609</v>
      </c>
      <c r="N21" s="11">
        <v>122.07915132147549</v>
      </c>
      <c r="O21" s="11">
        <v>120.75489194403508</v>
      </c>
      <c r="P21" s="11">
        <v>132.07823867130051</v>
      </c>
      <c r="Q21" s="11">
        <v>123.90171407154689</v>
      </c>
      <c r="R21" s="11">
        <v>127.38589032030031</v>
      </c>
      <c r="S21" s="11">
        <v>113.73629690247478</v>
      </c>
      <c r="T21" s="11">
        <v>137.35532932317761</v>
      </c>
      <c r="U21" s="11"/>
      <c r="V21" s="4"/>
      <c r="W21" s="17">
        <f t="shared" si="5"/>
        <v>123.02936907253365</v>
      </c>
      <c r="X21" s="18">
        <f t="shared" si="6"/>
        <v>8.3849243272193821</v>
      </c>
      <c r="Y21" s="5"/>
      <c r="Z21" s="27" t="s">
        <v>18</v>
      </c>
      <c r="AA21" s="27"/>
      <c r="AB21" s="27"/>
      <c r="AC21" s="27"/>
      <c r="AD21" s="31">
        <f>(112+115)/2</f>
        <v>113.5</v>
      </c>
      <c r="AE21" s="27">
        <v>93.2</v>
      </c>
      <c r="AF21" s="29">
        <v>143</v>
      </c>
      <c r="AG21" s="31">
        <f t="shared" si="2"/>
        <v>20.299999999999997</v>
      </c>
      <c r="AH21" s="31">
        <f t="shared" si="3"/>
        <v>29.5</v>
      </c>
      <c r="AI21" s="8"/>
      <c r="AJ21" s="38">
        <f t="shared" si="4"/>
        <v>8.3959198876948502</v>
      </c>
      <c r="AK21" s="14"/>
    </row>
    <row r="22" spans="1:37">
      <c r="A22" s="1" t="s">
        <v>19</v>
      </c>
      <c r="B22" s="1" t="s">
        <v>94</v>
      </c>
      <c r="C22" s="11">
        <v>109.27948554609627</v>
      </c>
      <c r="D22" s="11">
        <v>106.12436901688153</v>
      </c>
      <c r="E22" s="11">
        <v>107.84179072902376</v>
      </c>
      <c r="F22" s="11">
        <v>106.45879535474783</v>
      </c>
      <c r="G22" s="11">
        <v>106.7903375380529</v>
      </c>
      <c r="H22" s="11">
        <v>100.88906808610115</v>
      </c>
      <c r="I22" s="11">
        <v>106.77674581906699</v>
      </c>
      <c r="J22" s="11">
        <v>104.46744269704604</v>
      </c>
      <c r="K22" s="11">
        <v>102.9120850134715</v>
      </c>
      <c r="L22" s="11">
        <v>105.9190536222325</v>
      </c>
      <c r="M22" s="11">
        <v>102.45471064864071</v>
      </c>
      <c r="N22" s="11">
        <v>102.41847552018132</v>
      </c>
      <c r="O22" s="11">
        <v>102.2893407115929</v>
      </c>
      <c r="P22" s="11">
        <v>110.60884820017829</v>
      </c>
      <c r="Q22" s="11">
        <v>106.27453960677417</v>
      </c>
      <c r="R22" s="11">
        <v>112.69732710224417</v>
      </c>
      <c r="S22" s="11">
        <v>102.62857954181032</v>
      </c>
      <c r="T22" s="11">
        <v>101.17824217645611</v>
      </c>
      <c r="U22" s="11"/>
      <c r="V22" s="4"/>
      <c r="W22" s="25">
        <f t="shared" si="5"/>
        <v>105.44495760725545</v>
      </c>
      <c r="X22" s="18">
        <f t="shared" si="6"/>
        <v>3.3256598903809542</v>
      </c>
      <c r="Y22" s="5"/>
      <c r="Z22" s="27" t="s">
        <v>19</v>
      </c>
      <c r="AA22" s="27"/>
      <c r="AB22" s="27"/>
      <c r="AC22" s="27"/>
      <c r="AD22" s="28">
        <f>(108+112)/2</f>
        <v>110</v>
      </c>
      <c r="AE22" s="27">
        <v>61</v>
      </c>
      <c r="AF22" s="29">
        <v>132</v>
      </c>
      <c r="AG22" s="28">
        <f t="shared" si="2"/>
        <v>49</v>
      </c>
      <c r="AH22" s="28">
        <f t="shared" si="3"/>
        <v>22</v>
      </c>
      <c r="AI22" s="8"/>
      <c r="AJ22" s="38">
        <f t="shared" si="4"/>
        <v>-4.1409476297677754</v>
      </c>
      <c r="AK22" s="14"/>
    </row>
    <row r="23" spans="1:37">
      <c r="A23" s="1" t="s">
        <v>20</v>
      </c>
      <c r="B23" s="1" t="s">
        <v>94</v>
      </c>
      <c r="C23" s="3">
        <v>18.626187886396536</v>
      </c>
      <c r="D23" s="3">
        <v>17.801369525593163</v>
      </c>
      <c r="E23" s="3">
        <v>18.502850959644444</v>
      </c>
      <c r="F23" s="3">
        <v>18.969898490910548</v>
      </c>
      <c r="G23" s="3">
        <v>19.403555602022635</v>
      </c>
      <c r="H23" s="3">
        <v>19.912905930513475</v>
      </c>
      <c r="I23" s="3">
        <v>20.30018759240399</v>
      </c>
      <c r="J23" s="3">
        <v>19.623596244736966</v>
      </c>
      <c r="K23" s="3">
        <v>18.640393922840577</v>
      </c>
      <c r="L23" s="3">
        <v>19.931283949443277</v>
      </c>
      <c r="M23" s="3">
        <v>18.70297432518063</v>
      </c>
      <c r="N23" s="3">
        <v>20.581752983039756</v>
      </c>
      <c r="O23" s="3">
        <v>19.703417368667374</v>
      </c>
      <c r="P23" s="3">
        <v>21.465352712457328</v>
      </c>
      <c r="Q23" s="3">
        <v>18.245512865014177</v>
      </c>
      <c r="R23" s="3">
        <v>19.342771636736114</v>
      </c>
      <c r="S23" s="3">
        <v>18.345463513870694</v>
      </c>
      <c r="T23" s="3">
        <v>18.979391038346648</v>
      </c>
      <c r="U23" s="3"/>
      <c r="V23" s="4"/>
      <c r="W23" s="17">
        <f t="shared" si="5"/>
        <v>19.282159252656577</v>
      </c>
      <c r="X23" s="18">
        <f t="shared" si="6"/>
        <v>0.93122935963426956</v>
      </c>
      <c r="Y23" s="5"/>
      <c r="Z23" s="27" t="s">
        <v>20</v>
      </c>
      <c r="AA23" s="27"/>
      <c r="AB23" s="27"/>
      <c r="AC23" s="27"/>
      <c r="AD23" s="31">
        <f>(19+19.6)/2</f>
        <v>19.3</v>
      </c>
      <c r="AE23" s="35">
        <v>14.7</v>
      </c>
      <c r="AF23" s="6">
        <v>26</v>
      </c>
      <c r="AG23" s="31">
        <f t="shared" si="2"/>
        <v>4.6000000000000014</v>
      </c>
      <c r="AH23" s="31">
        <f t="shared" si="3"/>
        <v>6.6999999999999993</v>
      </c>
      <c r="AI23" s="8"/>
      <c r="AJ23" s="38">
        <f t="shared" si="4"/>
        <v>-9.243910540634255E-2</v>
      </c>
      <c r="AK23" s="14"/>
    </row>
    <row r="24" spans="1:37">
      <c r="A24" s="1" t="s">
        <v>21</v>
      </c>
      <c r="B24" s="1" t="s">
        <v>94</v>
      </c>
      <c r="C24" s="10">
        <v>5.9042972926258184</v>
      </c>
      <c r="D24" s="10">
        <v>5.2711090105180576</v>
      </c>
      <c r="E24" s="10">
        <v>5.3551461203866948</v>
      </c>
      <c r="F24" s="10">
        <v>5.3161412431742701</v>
      </c>
      <c r="G24" s="10">
        <v>5.770667922190408</v>
      </c>
      <c r="H24" s="10">
        <v>5.6584342574118249</v>
      </c>
      <c r="I24" s="10">
        <v>6.0847089698291281</v>
      </c>
      <c r="J24" s="10">
        <v>5.9259339350488434</v>
      </c>
      <c r="K24" s="10">
        <v>5.748393148576997</v>
      </c>
      <c r="L24" s="10">
        <v>5.8363159325463272</v>
      </c>
      <c r="M24" s="10">
        <v>5.5391725620690133</v>
      </c>
      <c r="N24" s="10">
        <v>5.8659500727350826</v>
      </c>
      <c r="O24" s="10">
        <v>5.9422471829547332</v>
      </c>
      <c r="P24" s="10">
        <v>5.774847974466736</v>
      </c>
      <c r="Q24" s="10">
        <v>5.9998176557419365</v>
      </c>
      <c r="R24" s="10">
        <v>5.394466490561781</v>
      </c>
      <c r="S24" s="10">
        <v>5.9406456292528453</v>
      </c>
      <c r="T24" s="10">
        <v>5.4871915048446436</v>
      </c>
      <c r="U24" s="10"/>
      <c r="V24" s="4"/>
      <c r="W24" s="18">
        <f t="shared" si="5"/>
        <v>5.7119714947186191</v>
      </c>
      <c r="X24" s="18">
        <f t="shared" si="6"/>
        <v>0.25669844675780235</v>
      </c>
      <c r="Y24" s="5"/>
      <c r="Z24" s="27" t="s">
        <v>21</v>
      </c>
      <c r="AA24" s="27"/>
      <c r="AB24" s="27"/>
      <c r="AC24" s="27"/>
      <c r="AD24" s="30">
        <v>5.8</v>
      </c>
      <c r="AE24" s="36">
        <v>4.5999999999999996</v>
      </c>
      <c r="AF24" s="6">
        <v>10</v>
      </c>
      <c r="AG24" s="30">
        <f t="shared" si="2"/>
        <v>1.2000000000000002</v>
      </c>
      <c r="AH24" s="30">
        <f t="shared" si="3"/>
        <v>4.2</v>
      </c>
      <c r="AI24" s="8"/>
      <c r="AJ24" s="38">
        <f t="shared" si="4"/>
        <v>-1.5177328496789781</v>
      </c>
      <c r="AK24" s="14"/>
    </row>
    <row r="25" spans="1:37">
      <c r="A25" s="1" t="s">
        <v>22</v>
      </c>
      <c r="B25" s="1" t="s">
        <v>94</v>
      </c>
      <c r="C25" s="11">
        <v>318.76252887061833</v>
      </c>
      <c r="D25" s="11">
        <v>320.48289727184823</v>
      </c>
      <c r="E25" s="11">
        <v>321.70894780197318</v>
      </c>
      <c r="F25" s="11">
        <v>321.0309999848584</v>
      </c>
      <c r="G25" s="11">
        <v>321.50056962304512</v>
      </c>
      <c r="H25" s="11">
        <v>313.57224767285834</v>
      </c>
      <c r="I25" s="11">
        <v>324.3069673443519</v>
      </c>
      <c r="J25" s="11">
        <v>326.44083568986326</v>
      </c>
      <c r="K25" s="11">
        <v>319.37916949455553</v>
      </c>
      <c r="L25" s="11">
        <v>317.80062569994715</v>
      </c>
      <c r="M25" s="11">
        <v>318.30453288056276</v>
      </c>
      <c r="N25" s="11">
        <v>328.3317158425491</v>
      </c>
      <c r="O25" s="11">
        <v>314.98624922783029</v>
      </c>
      <c r="P25" s="11">
        <v>318.79655235085511</v>
      </c>
      <c r="Q25" s="11">
        <v>322.99065371440832</v>
      </c>
      <c r="R25" s="11">
        <v>331.27967887975188</v>
      </c>
      <c r="S25" s="11">
        <v>319.81304584228195</v>
      </c>
      <c r="T25" s="11">
        <v>325.39476763036083</v>
      </c>
      <c r="U25" s="11"/>
      <c r="V25" s="4"/>
      <c r="W25" s="25">
        <f t="shared" si="5"/>
        <v>321.38238810125108</v>
      </c>
      <c r="X25" s="18">
        <f t="shared" si="6"/>
        <v>4.5007612381716671</v>
      </c>
      <c r="Y25" s="5"/>
      <c r="Z25" s="27" t="s">
        <v>22</v>
      </c>
      <c r="AA25" s="27"/>
      <c r="AB25" s="27"/>
      <c r="AC25" s="27"/>
      <c r="AD25" s="32">
        <f>(312+315)/2</f>
        <v>313.5</v>
      </c>
      <c r="AE25" s="27">
        <v>290</v>
      </c>
      <c r="AF25" s="29">
        <v>407</v>
      </c>
      <c r="AG25" s="28">
        <f t="shared" si="2"/>
        <v>23.5</v>
      </c>
      <c r="AH25" s="28">
        <f t="shared" si="3"/>
        <v>93.5</v>
      </c>
      <c r="AI25" s="8"/>
      <c r="AJ25" s="38">
        <f t="shared" si="4"/>
        <v>2.5143183736048105</v>
      </c>
      <c r="AK25" s="14"/>
    </row>
    <row r="26" spans="1:37">
      <c r="A26" s="1" t="s">
        <v>23</v>
      </c>
      <c r="B26" s="1" t="s">
        <v>94</v>
      </c>
      <c r="C26" s="3">
        <v>23.004172905880697</v>
      </c>
      <c r="D26" s="3">
        <v>23.042378320732293</v>
      </c>
      <c r="E26" s="3">
        <v>24.240900700378383</v>
      </c>
      <c r="F26" s="3">
        <v>24.473738181511056</v>
      </c>
      <c r="G26" s="3">
        <v>23.878469589283956</v>
      </c>
      <c r="H26" s="3">
        <v>23.44430467534616</v>
      </c>
      <c r="I26" s="3">
        <v>23.417280632611138</v>
      </c>
      <c r="J26" s="3">
        <v>24.007833891056457</v>
      </c>
      <c r="K26" s="3">
        <v>23.127284970819428</v>
      </c>
      <c r="L26" s="3">
        <v>22.509686117572361</v>
      </c>
      <c r="M26" s="3">
        <v>25.064147602859681</v>
      </c>
      <c r="N26" s="3">
        <v>24.964784872513235</v>
      </c>
      <c r="O26" s="3">
        <v>23.390426174134863</v>
      </c>
      <c r="P26" s="3">
        <v>23.321736443299741</v>
      </c>
      <c r="Q26" s="3">
        <v>23.095929890311552</v>
      </c>
      <c r="R26" s="3">
        <v>24.209497654520739</v>
      </c>
      <c r="S26" s="3">
        <v>22.32146223807289</v>
      </c>
      <c r="T26" s="3">
        <v>23.502069782241215</v>
      </c>
      <c r="U26" s="3"/>
      <c r="V26" s="4"/>
      <c r="W26" s="17">
        <f t="shared" si="5"/>
        <v>23.612005813508105</v>
      </c>
      <c r="X26" s="18">
        <f t="shared" si="6"/>
        <v>0.76499963380503366</v>
      </c>
      <c r="Y26" s="5"/>
      <c r="Z26" s="27" t="s">
        <v>23</v>
      </c>
      <c r="AA26" s="27"/>
      <c r="AB26" s="27"/>
      <c r="AC26" s="27"/>
      <c r="AD26" s="28">
        <f>(23.9+24.3)/2</f>
        <v>24.1</v>
      </c>
      <c r="AE26" s="35">
        <v>21</v>
      </c>
      <c r="AF26" s="6">
        <v>27.6</v>
      </c>
      <c r="AG26" s="28">
        <f t="shared" si="2"/>
        <v>3.1000000000000014</v>
      </c>
      <c r="AH26" s="28">
        <f t="shared" si="3"/>
        <v>3.5</v>
      </c>
      <c r="AI26" s="8"/>
      <c r="AJ26" s="38">
        <f t="shared" si="4"/>
        <v>-2.024872143119901</v>
      </c>
      <c r="AK26" s="14"/>
    </row>
    <row r="27" spans="1:37">
      <c r="A27" s="1" t="s">
        <v>24</v>
      </c>
      <c r="B27" s="1" t="s">
        <v>94</v>
      </c>
      <c r="C27" s="11">
        <v>123.29227659894994</v>
      </c>
      <c r="D27" s="11">
        <v>122.91090324547686</v>
      </c>
      <c r="E27" s="11">
        <v>128.70456227119254</v>
      </c>
      <c r="F27" s="11">
        <v>126.18580593811078</v>
      </c>
      <c r="G27" s="11">
        <v>126.79272214205227</v>
      </c>
      <c r="H27" s="11">
        <v>121.57574370338915</v>
      </c>
      <c r="I27" s="11">
        <v>125.55501310030009</v>
      </c>
      <c r="J27" s="11">
        <v>124.36161410467477</v>
      </c>
      <c r="K27" s="11">
        <v>123.51315384404585</v>
      </c>
      <c r="L27" s="11">
        <v>122.15798861749714</v>
      </c>
      <c r="M27" s="11">
        <v>123.74284373974633</v>
      </c>
      <c r="N27" s="11">
        <v>127.08494086299923</v>
      </c>
      <c r="O27" s="11">
        <v>123.38177450779513</v>
      </c>
      <c r="P27" s="11">
        <v>124.2680143511669</v>
      </c>
      <c r="Q27" s="11">
        <v>122.42252993582207</v>
      </c>
      <c r="R27" s="11">
        <v>127.5517890205258</v>
      </c>
      <c r="S27" s="11">
        <v>121.02560893270653</v>
      </c>
      <c r="T27" s="11">
        <v>125.30416424340186</v>
      </c>
      <c r="U27" s="11"/>
      <c r="V27" s="4"/>
      <c r="W27" s="25">
        <f t="shared" si="5"/>
        <v>124.43508050888073</v>
      </c>
      <c r="X27" s="18">
        <f t="shared" si="6"/>
        <v>2.1792336182121592</v>
      </c>
      <c r="Y27" s="5"/>
      <c r="Z27" s="27" t="s">
        <v>24</v>
      </c>
      <c r="AA27" s="27"/>
      <c r="AB27" s="27"/>
      <c r="AC27" s="27"/>
      <c r="AD27" s="32">
        <f>(122+126)/2</f>
        <v>124</v>
      </c>
      <c r="AE27" s="27">
        <v>105</v>
      </c>
      <c r="AF27" s="29">
        <v>175</v>
      </c>
      <c r="AG27" s="32">
        <f t="shared" si="2"/>
        <v>19</v>
      </c>
      <c r="AH27" s="32">
        <f t="shared" si="3"/>
        <v>51</v>
      </c>
      <c r="AI27" s="8"/>
      <c r="AJ27" s="38">
        <f t="shared" si="4"/>
        <v>0.35087137812962144</v>
      </c>
      <c r="AK27" s="14"/>
    </row>
    <row r="28" spans="1:37">
      <c r="A28" s="1" t="s">
        <v>25</v>
      </c>
      <c r="B28" s="1" t="s">
        <v>94</v>
      </c>
      <c r="C28" s="10">
        <v>7.8540253625176444</v>
      </c>
      <c r="D28" s="10">
        <v>7.4944186377701687</v>
      </c>
      <c r="E28" s="10">
        <v>7.8810876235491225</v>
      </c>
      <c r="F28" s="10">
        <v>8.231595297396284</v>
      </c>
      <c r="G28" s="10">
        <v>8.4006610354204518</v>
      </c>
      <c r="H28" s="10">
        <v>7.8985983793838379</v>
      </c>
      <c r="I28" s="10">
        <v>8.0209288902580926</v>
      </c>
      <c r="J28" s="10">
        <v>8.0092696905694876</v>
      </c>
      <c r="K28" s="10">
        <v>7.7411521111206127</v>
      </c>
      <c r="L28" s="10">
        <v>7.8300346128636242</v>
      </c>
      <c r="M28" s="10">
        <v>8.0377655758551203</v>
      </c>
      <c r="N28" s="10">
        <v>7.6574765462587111</v>
      </c>
      <c r="O28" s="10">
        <v>7.7829325170260617</v>
      </c>
      <c r="P28" s="10">
        <v>8.3266406634060246</v>
      </c>
      <c r="Q28" s="10">
        <v>7.9991992352137542</v>
      </c>
      <c r="R28" s="10">
        <v>8.3751453184456857</v>
      </c>
      <c r="S28" s="10">
        <v>8.2420957512972119</v>
      </c>
      <c r="T28" s="10">
        <v>8.056289161753698</v>
      </c>
      <c r="U28" s="3"/>
      <c r="V28" s="4"/>
      <c r="W28" s="17">
        <f t="shared" si="5"/>
        <v>7.9910731338947549</v>
      </c>
      <c r="X28" s="18">
        <f t="shared" si="6"/>
        <v>0.25269880335618289</v>
      </c>
      <c r="Y28" s="5"/>
      <c r="Z28" s="27" t="s">
        <v>25</v>
      </c>
      <c r="AA28" s="27"/>
      <c r="AB28" s="27"/>
      <c r="AC28" s="27"/>
      <c r="AD28" s="30">
        <f>(8.61+9)/2</f>
        <v>8.8049999999999997</v>
      </c>
      <c r="AE28" s="35">
        <v>5</v>
      </c>
      <c r="AF28" s="6">
        <v>10.3</v>
      </c>
      <c r="AG28" s="30">
        <f t="shared" si="2"/>
        <v>3.8049999999999997</v>
      </c>
      <c r="AH28" s="30">
        <f t="shared" si="3"/>
        <v>1.495000000000001</v>
      </c>
      <c r="AI28" s="8"/>
      <c r="AJ28" s="38">
        <f t="shared" si="4"/>
        <v>-9.2439167076120938</v>
      </c>
      <c r="AK28" s="14"/>
    </row>
    <row r="29" spans="1:37">
      <c r="A29" s="1" t="s">
        <v>29</v>
      </c>
      <c r="B29" s="1" t="s">
        <v>94</v>
      </c>
      <c r="C29" s="3">
        <v>82.074076801678629</v>
      </c>
      <c r="D29" s="3">
        <v>78.481359569923228</v>
      </c>
      <c r="E29" s="3">
        <v>83.951293108193184</v>
      </c>
      <c r="F29" s="3">
        <v>81.073664276604973</v>
      </c>
      <c r="G29" s="3">
        <v>84.747848631358195</v>
      </c>
      <c r="H29" s="3">
        <v>81.389997120199155</v>
      </c>
      <c r="I29" s="3">
        <v>82.64566378670122</v>
      </c>
      <c r="J29" s="3">
        <v>82.949459544365467</v>
      </c>
      <c r="K29" s="3">
        <v>78.949112318100219</v>
      </c>
      <c r="L29" s="3">
        <v>82.381786001416557</v>
      </c>
      <c r="M29" s="3">
        <v>79.716185255402479</v>
      </c>
      <c r="N29" s="3">
        <v>86.566419370085171</v>
      </c>
      <c r="O29" s="3">
        <v>77.72404229964026</v>
      </c>
      <c r="P29" s="3">
        <v>76.400017500119148</v>
      </c>
      <c r="Q29" s="3">
        <v>79.908729833266108</v>
      </c>
      <c r="R29" s="3">
        <v>82.203009200113598</v>
      </c>
      <c r="S29" s="3">
        <v>81.134366496998751</v>
      </c>
      <c r="T29" s="3">
        <v>81.636290542817747</v>
      </c>
      <c r="U29" s="11"/>
      <c r="V29" s="4"/>
      <c r="W29" s="17">
        <f t="shared" si="5"/>
        <v>81.329628980943582</v>
      </c>
      <c r="X29" s="18">
        <f t="shared" si="6"/>
        <v>2.5282574736721859</v>
      </c>
      <c r="Y29" s="5"/>
      <c r="Z29" s="27" t="s">
        <v>29</v>
      </c>
      <c r="AA29" s="27"/>
      <c r="AB29" s="27"/>
      <c r="AC29" s="27"/>
      <c r="AD29" s="31">
        <f>(80+80.1)/2</f>
        <v>80.05</v>
      </c>
      <c r="AE29" s="27">
        <v>69.900000000000006</v>
      </c>
      <c r="AF29" s="29">
        <v>120</v>
      </c>
      <c r="AG29" s="31">
        <f t="shared" si="2"/>
        <v>10.149999999999991</v>
      </c>
      <c r="AH29" s="31">
        <f t="shared" si="3"/>
        <v>39.950000000000003</v>
      </c>
      <c r="AI29" s="8"/>
      <c r="AJ29" s="38">
        <f t="shared" si="4"/>
        <v>1.5985371404666893</v>
      </c>
      <c r="AK29" s="14"/>
    </row>
    <row r="30" spans="1:37">
      <c r="A30" s="1" t="s">
        <v>30</v>
      </c>
      <c r="B30" s="1" t="s">
        <v>94</v>
      </c>
      <c r="C30" s="10">
        <v>8.8922293971776654</v>
      </c>
      <c r="D30" s="10">
        <v>8.9244007442478726</v>
      </c>
      <c r="E30" s="10">
        <v>9.097980431817021</v>
      </c>
      <c r="F30" s="10">
        <v>8.68512673565467</v>
      </c>
      <c r="G30" s="10">
        <v>8.9317612624555363</v>
      </c>
      <c r="H30" s="10">
        <v>8.4633371863771014</v>
      </c>
      <c r="I30" s="10">
        <v>9.371570414458942</v>
      </c>
      <c r="J30" s="10">
        <v>9.5534449382062938</v>
      </c>
      <c r="K30" s="10">
        <v>9.353909663920426</v>
      </c>
      <c r="L30" s="10">
        <v>9.0221815556718816</v>
      </c>
      <c r="M30" s="10">
        <v>8.8368779234453303</v>
      </c>
      <c r="N30" s="10">
        <v>9.3901705960286517</v>
      </c>
      <c r="O30" s="10">
        <v>8.7881791842776167</v>
      </c>
      <c r="P30" s="10">
        <v>8.6071784796931379</v>
      </c>
      <c r="Q30" s="10">
        <v>9.1191844143124356</v>
      </c>
      <c r="R30" s="10">
        <v>9.5965669436153256</v>
      </c>
      <c r="S30" s="10">
        <v>9.3114890488370126</v>
      </c>
      <c r="T30" s="10">
        <v>9.2455229366445302</v>
      </c>
      <c r="U30" s="3"/>
      <c r="V30" s="4"/>
      <c r="W30" s="17">
        <f t="shared" si="5"/>
        <v>9.0661728809356372</v>
      </c>
      <c r="X30" s="18">
        <f t="shared" si="6"/>
        <v>0.32678936580621565</v>
      </c>
      <c r="Y30" s="5"/>
      <c r="Z30" s="27" t="s">
        <v>30</v>
      </c>
      <c r="AA30" s="27"/>
      <c r="AB30" s="27"/>
      <c r="AC30" s="27"/>
      <c r="AD30" s="30">
        <f>(8.96+8.99)/2</f>
        <v>8.9750000000000014</v>
      </c>
      <c r="AE30" s="36">
        <v>8.2100000000000009</v>
      </c>
      <c r="AF30" s="6">
        <v>10.88</v>
      </c>
      <c r="AG30" s="31">
        <f t="shared" si="2"/>
        <v>0.76500000000000057</v>
      </c>
      <c r="AH30" s="31">
        <f t="shared" si="3"/>
        <v>1.9049999999999994</v>
      </c>
      <c r="AI30" s="8"/>
      <c r="AJ30" s="38">
        <f t="shared" si="4"/>
        <v>1.0158538265809001</v>
      </c>
      <c r="AK30" s="14"/>
    </row>
    <row r="31" spans="1:37">
      <c r="A31" s="1" t="s">
        <v>33</v>
      </c>
      <c r="B31" s="1" t="s">
        <v>94</v>
      </c>
      <c r="C31" s="3">
        <v>16.528466962360181</v>
      </c>
      <c r="D31" s="3">
        <v>18.202098133099117</v>
      </c>
      <c r="E31" s="3">
        <v>17.07028938369287</v>
      </c>
      <c r="F31" s="3">
        <v>16.051531413929627</v>
      </c>
      <c r="G31" s="3">
        <v>16.277591792795974</v>
      </c>
      <c r="H31" s="3">
        <v>17.235760860344094</v>
      </c>
      <c r="I31" s="3">
        <v>17.385041480497737</v>
      </c>
      <c r="J31" s="3">
        <v>18.005555958662615</v>
      </c>
      <c r="K31" s="3">
        <v>17.825231197707296</v>
      </c>
      <c r="L31" s="3">
        <v>16.537303708995676</v>
      </c>
      <c r="M31" s="3">
        <v>17.647134665321399</v>
      </c>
      <c r="N31" s="3">
        <v>16.83941819508664</v>
      </c>
      <c r="O31" s="3">
        <v>16.155644165581261</v>
      </c>
      <c r="P31" s="3">
        <v>15.980801865245745</v>
      </c>
      <c r="Q31" s="3">
        <v>16.467849808887927</v>
      </c>
      <c r="R31" s="3">
        <v>16.466728869601784</v>
      </c>
      <c r="S31" s="3">
        <v>16.270364817480477</v>
      </c>
      <c r="T31" s="3">
        <v>18.045562084228244</v>
      </c>
      <c r="U31" s="3"/>
      <c r="V31" s="4"/>
      <c r="W31" s="17">
        <f t="shared" si="5"/>
        <v>16.944020853528816</v>
      </c>
      <c r="X31" s="18">
        <f t="shared" si="6"/>
        <v>0.74899393041526408</v>
      </c>
      <c r="Y31" s="5"/>
      <c r="Z31" s="27" t="s">
        <v>33</v>
      </c>
      <c r="AA31" s="27"/>
      <c r="AB31" s="27"/>
      <c r="AC31" s="27"/>
      <c r="AD31" s="31">
        <f>(16.7+16.8)/2</f>
        <v>16.75</v>
      </c>
      <c r="AE31" s="35">
        <v>15</v>
      </c>
      <c r="AF31" s="6">
        <v>18.7</v>
      </c>
      <c r="AG31" s="31">
        <f t="shared" si="2"/>
        <v>1.75</v>
      </c>
      <c r="AH31" s="31">
        <f t="shared" si="3"/>
        <v>1.9499999999999993</v>
      </c>
      <c r="AI31" s="8"/>
      <c r="AJ31" s="38">
        <f t="shared" si="4"/>
        <v>1.1583334539033774</v>
      </c>
      <c r="AK31" s="14"/>
    </row>
    <row r="32" spans="1:37">
      <c r="A32" s="1" t="s">
        <v>34</v>
      </c>
      <c r="B32" s="1" t="s">
        <v>94</v>
      </c>
      <c r="C32" s="10">
        <v>4.4687601288332655</v>
      </c>
      <c r="D32" s="10">
        <v>4.6590846512646458</v>
      </c>
      <c r="E32" s="10">
        <v>4.4544341954444908</v>
      </c>
      <c r="F32" s="10">
        <v>4.977189436217814</v>
      </c>
      <c r="G32" s="10">
        <v>3.9080783345563876</v>
      </c>
      <c r="H32" s="10">
        <v>4.1382563967283996</v>
      </c>
      <c r="I32" s="10">
        <v>5.2287506928413068</v>
      </c>
      <c r="J32" s="10">
        <v>5.0869523597996738</v>
      </c>
      <c r="K32" s="10">
        <v>4.7262650708714862</v>
      </c>
      <c r="L32" s="10">
        <v>5.2766135760798338</v>
      </c>
      <c r="M32" s="10">
        <v>4.2684298470335165</v>
      </c>
      <c r="N32" s="10">
        <v>4.9428810564512506</v>
      </c>
      <c r="O32" s="10">
        <v>4.5149134871454502</v>
      </c>
      <c r="P32" s="10">
        <v>5.106367105409289</v>
      </c>
      <c r="Q32" s="10">
        <v>4.5991500615814145</v>
      </c>
      <c r="R32" s="10">
        <v>4.9010271463761121</v>
      </c>
      <c r="S32" s="10">
        <v>4.9725435363807193</v>
      </c>
      <c r="T32" s="10">
        <v>4.4702307093023288</v>
      </c>
      <c r="U32" s="10"/>
      <c r="V32" s="4"/>
      <c r="W32" s="18">
        <f t="shared" si="5"/>
        <v>4.7055515440176308</v>
      </c>
      <c r="X32" s="18">
        <f t="shared" si="6"/>
        <v>0.38495208320002794</v>
      </c>
      <c r="Y32" s="5"/>
      <c r="Z32" s="27" t="s">
        <v>34</v>
      </c>
      <c r="AA32" s="27"/>
      <c r="AB32" s="27"/>
      <c r="AC32" s="27"/>
      <c r="AD32" s="30">
        <f>(4.75+4.79)/2</f>
        <v>4.7699999999999996</v>
      </c>
      <c r="AE32" s="27">
        <v>4.08</v>
      </c>
      <c r="AF32" s="7">
        <v>5.31</v>
      </c>
      <c r="AG32" s="30">
        <f t="shared" si="2"/>
        <v>0.6899999999999995</v>
      </c>
      <c r="AH32" s="30">
        <f t="shared" si="3"/>
        <v>0.54</v>
      </c>
      <c r="AI32" s="8"/>
      <c r="AJ32" s="38">
        <f t="shared" si="4"/>
        <v>-1.3511206704899124</v>
      </c>
      <c r="AK32" s="14"/>
    </row>
    <row r="33" spans="1:37">
      <c r="A33" s="1" t="s">
        <v>35</v>
      </c>
      <c r="B33" s="1" t="s">
        <v>94</v>
      </c>
      <c r="C33" s="10">
        <v>1.6719805774187353</v>
      </c>
      <c r="D33" s="10">
        <v>1.7404686102637974</v>
      </c>
      <c r="E33" s="10">
        <v>2.0437420700452154</v>
      </c>
      <c r="F33" s="10">
        <v>1.7957513865440455</v>
      </c>
      <c r="G33" s="10">
        <v>1.619411712455251</v>
      </c>
      <c r="H33" s="10">
        <v>1.7655519069214785</v>
      </c>
      <c r="I33" s="10">
        <v>1.6816080879608104</v>
      </c>
      <c r="J33" s="10">
        <v>1.8180376460508167</v>
      </c>
      <c r="K33" s="10">
        <v>1.5970718250016906</v>
      </c>
      <c r="L33" s="10">
        <v>1.5197882208298545</v>
      </c>
      <c r="M33" s="10">
        <v>1.6987250762185555</v>
      </c>
      <c r="N33" s="10">
        <v>1.9192629955606433</v>
      </c>
      <c r="O33" s="10">
        <v>1.6370541698336842</v>
      </c>
      <c r="P33" s="10">
        <v>1.6289046648208403</v>
      </c>
      <c r="Q33" s="10">
        <v>1.8394513902047509</v>
      </c>
      <c r="R33" s="10">
        <v>1.7526480862295064</v>
      </c>
      <c r="S33" s="10">
        <v>1.7075439043195413</v>
      </c>
      <c r="T33" s="10">
        <v>1.8694246499633485</v>
      </c>
      <c r="U33" s="10"/>
      <c r="V33" s="4"/>
      <c r="W33" s="18">
        <f t="shared" si="5"/>
        <v>1.7392459433690317</v>
      </c>
      <c r="X33" s="18">
        <f t="shared" si="6"/>
        <v>0.12793225550677195</v>
      </c>
      <c r="Y33" s="5"/>
      <c r="Z33" s="27" t="s">
        <v>35</v>
      </c>
      <c r="AA33" s="27"/>
      <c r="AB33" s="27"/>
      <c r="AC33" s="27"/>
      <c r="AD33" s="30">
        <f>(1.67+1.68)/2</f>
        <v>1.6749999999999998</v>
      </c>
      <c r="AE33" s="27">
        <v>1.5</v>
      </c>
      <c r="AF33" s="7">
        <v>1.82</v>
      </c>
      <c r="AG33" s="30">
        <f t="shared" si="2"/>
        <v>0.17499999999999982</v>
      </c>
      <c r="AH33" s="30">
        <f t="shared" si="3"/>
        <v>0.14500000000000024</v>
      </c>
      <c r="AI33" s="8"/>
      <c r="AJ33" s="38">
        <f t="shared" si="4"/>
        <v>3.835578708598919</v>
      </c>
      <c r="AK33" s="14"/>
    </row>
    <row r="34" spans="1:37">
      <c r="A34" s="1" t="s">
        <v>41</v>
      </c>
      <c r="B34" s="1" t="s">
        <v>94</v>
      </c>
      <c r="C34" s="10">
        <v>0.33562984119579875</v>
      </c>
      <c r="D34" s="10">
        <v>0.31365094101000107</v>
      </c>
      <c r="E34" s="10">
        <v>0.3438580055356476</v>
      </c>
      <c r="F34" s="10">
        <v>0.31082091852131322</v>
      </c>
      <c r="G34" s="10">
        <v>0.34004280301201278</v>
      </c>
      <c r="H34" s="10">
        <v>0.32173810921891427</v>
      </c>
      <c r="I34" s="10">
        <v>0.3999414709874532</v>
      </c>
      <c r="J34" s="10">
        <v>0.44168617648100694</v>
      </c>
      <c r="K34" s="10">
        <v>0.31839004681464816</v>
      </c>
      <c r="L34" s="10">
        <v>0.3213752442412634</v>
      </c>
      <c r="M34" s="10">
        <v>0.3264305200054462</v>
      </c>
      <c r="N34" s="10">
        <v>0.36942054063087998</v>
      </c>
      <c r="O34" s="10">
        <v>0.31135222216713987</v>
      </c>
      <c r="P34" s="10">
        <v>0.31002031186446999</v>
      </c>
      <c r="Q34" s="10">
        <v>0.30711493735563911</v>
      </c>
      <c r="R34" s="10">
        <v>0.3549079046707404</v>
      </c>
      <c r="S34" s="10">
        <v>0.26998982364231555</v>
      </c>
      <c r="T34" s="10">
        <v>0.33070591611046979</v>
      </c>
      <c r="U34" s="10"/>
      <c r="V34" s="4"/>
      <c r="W34" s="18">
        <f t="shared" si="5"/>
        <v>0.33483754074806454</v>
      </c>
      <c r="X34" s="18">
        <f t="shared" si="6"/>
        <v>3.8532674150776096E-2</v>
      </c>
      <c r="Y34" s="5"/>
      <c r="Z34" s="27" t="s">
        <v>41</v>
      </c>
      <c r="AA34" s="27"/>
      <c r="AB34" s="27"/>
      <c r="AC34" s="27"/>
      <c r="AD34" s="30">
        <f>(0.324+0.326)/2</f>
        <v>0.32500000000000001</v>
      </c>
      <c r="AE34" s="27">
        <v>0.25</v>
      </c>
      <c r="AF34" s="7">
        <v>0.375</v>
      </c>
      <c r="AG34" s="30">
        <f t="shared" si="2"/>
        <v>7.5000000000000011E-2</v>
      </c>
      <c r="AH34" s="30">
        <f t="shared" si="3"/>
        <v>4.9999999999999989E-2</v>
      </c>
      <c r="AI34" s="8"/>
      <c r="AJ34" s="38">
        <f t="shared" si="4"/>
        <v>3.0269356147890871</v>
      </c>
      <c r="AK34" s="14"/>
    </row>
    <row r="35" spans="1:37">
      <c r="A35" s="1" t="s">
        <v>42</v>
      </c>
      <c r="B35" s="1" t="s">
        <v>94</v>
      </c>
      <c r="C35" s="10">
        <v>2.0276086672246074</v>
      </c>
      <c r="D35" s="10">
        <v>1.9392576925443525</v>
      </c>
      <c r="E35" s="10">
        <v>2.1203390098429926</v>
      </c>
      <c r="F35" s="10">
        <v>2.0319794945996223</v>
      </c>
      <c r="G35" s="10">
        <v>2.5353289308605906</v>
      </c>
      <c r="H35" s="10">
        <v>2.7923030565120444</v>
      </c>
      <c r="I35" s="10">
        <v>2.1919416195912893</v>
      </c>
      <c r="J35" s="10">
        <v>2.002719604277039</v>
      </c>
      <c r="K35" s="10">
        <v>2.1983282631287238</v>
      </c>
      <c r="L35" s="10">
        <v>2.3304997821413522</v>
      </c>
      <c r="M35" s="10">
        <v>1.6490323068830508</v>
      </c>
      <c r="N35" s="10">
        <v>1.950264159465195</v>
      </c>
      <c r="O35" s="10">
        <v>2.3233427399367401</v>
      </c>
      <c r="P35" s="10">
        <v>2.0950366741668787</v>
      </c>
      <c r="Q35" s="10">
        <v>1.9208534796726544</v>
      </c>
      <c r="R35" s="10">
        <v>1.8169501996360409</v>
      </c>
      <c r="S35" s="10">
        <v>1.9171219938411614</v>
      </c>
      <c r="T35" s="10">
        <v>1.9828116999251877</v>
      </c>
      <c r="U35" s="10"/>
      <c r="V35" s="4"/>
      <c r="W35" s="18">
        <f t="shared" si="5"/>
        <v>2.1014288541249737</v>
      </c>
      <c r="X35" s="18">
        <f t="shared" si="6"/>
        <v>0.26796398658556003</v>
      </c>
      <c r="Y35" s="5"/>
      <c r="Z35" s="27" t="s">
        <v>42</v>
      </c>
      <c r="AA35" s="27"/>
      <c r="AB35" s="27"/>
      <c r="AC35" s="27"/>
      <c r="AD35" s="30">
        <f>(2.05+2.06)/2</f>
        <v>2.0549999999999997</v>
      </c>
      <c r="AE35" s="27">
        <v>1.41</v>
      </c>
      <c r="AF35" s="7">
        <v>2.5299999999999998</v>
      </c>
      <c r="AG35" s="30">
        <f t="shared" si="2"/>
        <v>0.6449999999999998</v>
      </c>
      <c r="AH35" s="30">
        <f t="shared" si="3"/>
        <v>0.47500000000000009</v>
      </c>
      <c r="AI35" s="8"/>
      <c r="AJ35" s="38">
        <f t="shared" si="4"/>
        <v>2.259311636251776</v>
      </c>
      <c r="AK35" s="14"/>
    </row>
    <row r="36" spans="1:37">
      <c r="A36" s="1" t="s">
        <v>43</v>
      </c>
      <c r="B36" s="1" t="s">
        <v>94</v>
      </c>
      <c r="C36" s="10">
        <v>0.29608441363471311</v>
      </c>
      <c r="D36" s="10">
        <v>0.30231730011374836</v>
      </c>
      <c r="E36" s="10">
        <v>0.2579966149968167</v>
      </c>
      <c r="F36" s="10">
        <v>0.27947567589085753</v>
      </c>
      <c r="G36" s="10">
        <v>0.30987318157426613</v>
      </c>
      <c r="H36" s="10">
        <v>0.34112041613007693</v>
      </c>
      <c r="I36" s="10">
        <v>0.30097251670568054</v>
      </c>
      <c r="J36" s="10">
        <v>0.26569020355256306</v>
      </c>
      <c r="K36" s="10">
        <v>0.27867143240989278</v>
      </c>
      <c r="L36" s="10">
        <v>0.26790516184468821</v>
      </c>
      <c r="M36" s="10">
        <v>0.28503052787405952</v>
      </c>
      <c r="N36" s="10">
        <v>0.3089380725941509</v>
      </c>
      <c r="O36" s="10">
        <v>0.34992640260754176</v>
      </c>
      <c r="P36" s="10">
        <v>0.29648281800155274</v>
      </c>
      <c r="Q36" s="10">
        <v>0.26000827895187861</v>
      </c>
      <c r="R36" s="10">
        <v>0.26676042438065001</v>
      </c>
      <c r="S36" s="10">
        <v>0.31963926838173778</v>
      </c>
      <c r="T36" s="10">
        <v>0.29165446549769269</v>
      </c>
      <c r="U36" s="10"/>
      <c r="V36" s="4"/>
      <c r="W36" s="18">
        <f t="shared" si="5"/>
        <v>0.29325262084125381</v>
      </c>
      <c r="X36" s="18">
        <f t="shared" si="6"/>
        <v>2.6353652265293934E-2</v>
      </c>
      <c r="Y36" s="5"/>
      <c r="Z36" s="27" t="s">
        <v>43</v>
      </c>
      <c r="AA36" s="27"/>
      <c r="AB36" s="27"/>
      <c r="AC36" s="27"/>
      <c r="AD36" s="30">
        <v>0.28599999999999998</v>
      </c>
      <c r="AE36" s="27">
        <v>0.19</v>
      </c>
      <c r="AF36" s="7">
        <v>0.35</v>
      </c>
      <c r="AG36" s="30">
        <f t="shared" si="2"/>
        <v>9.5999999999999974E-2</v>
      </c>
      <c r="AH36" s="30">
        <f t="shared" si="3"/>
        <v>6.4000000000000001E-2</v>
      </c>
      <c r="AI36" s="8"/>
      <c r="AJ36" s="38">
        <f t="shared" si="4"/>
        <v>2.5358814130258156</v>
      </c>
      <c r="AK36" s="14"/>
    </row>
    <row r="37" spans="1:37">
      <c r="A37" s="1" t="s">
        <v>44</v>
      </c>
      <c r="B37" s="1" t="s">
        <v>94</v>
      </c>
      <c r="C37" s="10">
        <v>3.1615095344519024</v>
      </c>
      <c r="D37" s="10">
        <v>3.1131268409590036</v>
      </c>
      <c r="E37" s="10">
        <v>3.3699715949619073</v>
      </c>
      <c r="F37" s="10">
        <v>3.1291216981994454</v>
      </c>
      <c r="G37" s="10">
        <v>3.1500657963600807</v>
      </c>
      <c r="H37" s="10">
        <v>3.0416811721420451</v>
      </c>
      <c r="I37" s="10">
        <v>3.3284628565727319</v>
      </c>
      <c r="J37" s="10">
        <v>3.4151141013155017</v>
      </c>
      <c r="K37" s="10">
        <v>3.1007052743351498</v>
      </c>
      <c r="L37" s="10">
        <v>3.07011879613676</v>
      </c>
      <c r="M37" s="10">
        <v>2.7761978604120174</v>
      </c>
      <c r="N37" s="10">
        <v>3.0272781404535669</v>
      </c>
      <c r="O37" s="10">
        <v>3.4955083825528321</v>
      </c>
      <c r="P37" s="10">
        <v>3.0484183340074531</v>
      </c>
      <c r="Q37" s="10">
        <v>2.9864386632581441</v>
      </c>
      <c r="R37" s="10">
        <v>3.3024280707135825</v>
      </c>
      <c r="S37" s="10">
        <v>3.2321362684642452</v>
      </c>
      <c r="T37" s="10">
        <v>3.4918077498610294</v>
      </c>
      <c r="U37" s="10"/>
      <c r="V37" s="4"/>
      <c r="W37" s="18">
        <f t="shared" si="5"/>
        <v>3.1800050630643</v>
      </c>
      <c r="X37" s="18">
        <f t="shared" si="6"/>
        <v>0.19017601257118727</v>
      </c>
      <c r="Y37" s="5"/>
      <c r="Z37" s="27" t="s">
        <v>44</v>
      </c>
      <c r="AA37" s="27"/>
      <c r="AB37" s="27"/>
      <c r="AC37" s="27"/>
      <c r="AD37" s="30">
        <f>(3.22+3.32)/2</f>
        <v>3.27</v>
      </c>
      <c r="AE37" s="27">
        <v>2.0699999999999998</v>
      </c>
      <c r="AF37" s="7">
        <v>4.5999999999999996</v>
      </c>
      <c r="AG37" s="30">
        <f t="shared" si="2"/>
        <v>1.2000000000000002</v>
      </c>
      <c r="AH37" s="30">
        <f t="shared" si="3"/>
        <v>1.3299999999999996</v>
      </c>
      <c r="AI37" s="8"/>
      <c r="AJ37" s="38">
        <f t="shared" si="4"/>
        <v>-2.7521387442110101</v>
      </c>
      <c r="AK37" s="14"/>
    </row>
    <row r="38" spans="1:37">
      <c r="A38" s="1" t="s">
        <v>45</v>
      </c>
      <c r="B38" s="1" t="s">
        <v>94</v>
      </c>
      <c r="C38" s="10">
        <v>0.58385398207086736</v>
      </c>
      <c r="D38" s="10">
        <v>0.50441207833855251</v>
      </c>
      <c r="E38" s="10">
        <v>0.56082251905972791</v>
      </c>
      <c r="F38" s="10">
        <v>0.53714167445158911</v>
      </c>
      <c r="G38" s="10">
        <v>0.50042468451140631</v>
      </c>
      <c r="H38" s="10">
        <v>0.53732567310560053</v>
      </c>
      <c r="I38" s="10">
        <v>0.63837914692148512</v>
      </c>
      <c r="J38" s="10">
        <v>0.56844096638760866</v>
      </c>
      <c r="K38" s="10">
        <v>0.48936429981921592</v>
      </c>
      <c r="L38" s="10">
        <v>0.5777635421575027</v>
      </c>
      <c r="M38" s="10">
        <v>0.58825666245821651</v>
      </c>
      <c r="N38" s="10">
        <v>0.57646464247266738</v>
      </c>
      <c r="O38" s="10">
        <v>0.53203214692320422</v>
      </c>
      <c r="P38" s="10">
        <v>0.50227851247525979</v>
      </c>
      <c r="Q38" s="10">
        <v>0.61440352290469946</v>
      </c>
      <c r="R38" s="10">
        <v>0.47076480053820241</v>
      </c>
      <c r="S38" s="10">
        <v>0.4783425390038219</v>
      </c>
      <c r="T38" s="10">
        <v>0.52015731263243725</v>
      </c>
      <c r="U38" s="10"/>
      <c r="V38" s="4"/>
      <c r="W38" s="18">
        <f t="shared" si="5"/>
        <v>0.54336826145733708</v>
      </c>
      <c r="X38" s="18">
        <f t="shared" si="6"/>
        <v>4.7987444815886751E-2</v>
      </c>
      <c r="Y38" s="5"/>
      <c r="Z38" s="27" t="s">
        <v>45</v>
      </c>
      <c r="AA38" s="27"/>
      <c r="AB38" s="27"/>
      <c r="AC38" s="27"/>
      <c r="AD38" s="30">
        <f>(0.55+0.555)/2</f>
        <v>0.55249999999999999</v>
      </c>
      <c r="AE38" s="36">
        <v>0.4</v>
      </c>
      <c r="AF38" s="7">
        <v>0.64</v>
      </c>
      <c r="AG38" s="30">
        <f t="shared" si="2"/>
        <v>0.15249999999999997</v>
      </c>
      <c r="AH38" s="30">
        <f t="shared" si="3"/>
        <v>8.7500000000000022E-2</v>
      </c>
      <c r="AI38" s="8"/>
      <c r="AJ38" s="38">
        <f t="shared" si="4"/>
        <v>-1.6528033561380842</v>
      </c>
      <c r="AK38" s="14"/>
    </row>
    <row r="39" spans="1:37">
      <c r="A39" s="1" t="s">
        <v>48</v>
      </c>
      <c r="B39" s="1" t="s">
        <v>94</v>
      </c>
      <c r="C39" s="10">
        <v>0.55169663445557504</v>
      </c>
      <c r="D39" s="10">
        <v>0.49709545951982803</v>
      </c>
      <c r="E39" s="10">
        <v>0.55955369913128661</v>
      </c>
      <c r="F39" s="10">
        <v>0.58397156402065908</v>
      </c>
      <c r="G39" s="10">
        <v>0.4630198940420302</v>
      </c>
      <c r="H39" s="10">
        <v>0.55587433492924521</v>
      </c>
      <c r="I39" s="10">
        <v>0.59636265572468605</v>
      </c>
      <c r="J39" s="10">
        <v>0.51268482708722829</v>
      </c>
      <c r="K39" s="10">
        <v>0.53501774745669062</v>
      </c>
      <c r="L39" s="10">
        <v>0.46796657654330143</v>
      </c>
      <c r="M39" s="10">
        <v>0.55087817252505822</v>
      </c>
      <c r="N39" s="10">
        <v>0.51196779567079898</v>
      </c>
      <c r="O39" s="10">
        <v>0.57984062329548691</v>
      </c>
      <c r="P39" s="10">
        <v>0.49733589772511666</v>
      </c>
      <c r="Q39" s="10">
        <v>0.55619110597556132</v>
      </c>
      <c r="R39" s="10">
        <v>0.62184849566501754</v>
      </c>
      <c r="S39" s="10">
        <v>0.56693506204355781</v>
      </c>
      <c r="T39" s="10">
        <v>0.4531540478876061</v>
      </c>
      <c r="U39" s="10"/>
      <c r="V39" s="4"/>
      <c r="W39" s="18">
        <f t="shared" si="5"/>
        <v>0.53674414409437421</v>
      </c>
      <c r="X39" s="18">
        <f t="shared" si="6"/>
        <v>4.7871007190550929E-2</v>
      </c>
      <c r="Y39" s="5"/>
      <c r="Z39" s="27" t="s">
        <v>48</v>
      </c>
      <c r="AA39" s="27"/>
      <c r="AB39" s="27"/>
      <c r="AC39" s="27"/>
      <c r="AD39" s="30">
        <f>(0.54+0.548)/2</f>
        <v>0.54400000000000004</v>
      </c>
      <c r="AE39" s="36">
        <v>0.45</v>
      </c>
      <c r="AF39" s="7">
        <v>0.82</v>
      </c>
      <c r="AG39" s="30">
        <f t="shared" si="2"/>
        <v>9.4000000000000028E-2</v>
      </c>
      <c r="AH39" s="30">
        <f t="shared" si="3"/>
        <v>0.27599999999999991</v>
      </c>
      <c r="AI39" s="8"/>
      <c r="AJ39" s="38">
        <f t="shared" si="4"/>
        <v>-1.3337970414753364</v>
      </c>
      <c r="AK39" s="14"/>
    </row>
    <row r="40" spans="1:37">
      <c r="A40" s="12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24"/>
      <c r="X40" s="19"/>
      <c r="Y40" s="13"/>
      <c r="Z40" s="27"/>
      <c r="AA40" s="27"/>
      <c r="AB40" s="27"/>
      <c r="AC40" s="27"/>
      <c r="AD40" s="27"/>
      <c r="AE40" s="27"/>
      <c r="AF40" s="26"/>
      <c r="AG40" s="27"/>
      <c r="AH40" s="27"/>
      <c r="AI40" s="13"/>
      <c r="AJ40" s="38"/>
      <c r="AK40" s="13"/>
    </row>
    <row r="41" spans="1:37">
      <c r="A41" s="1" t="s">
        <v>10</v>
      </c>
      <c r="B41" s="1" t="s">
        <v>94</v>
      </c>
      <c r="C41" s="10">
        <v>4.7417730258048127</v>
      </c>
      <c r="D41" s="10">
        <v>4.9105832076645388</v>
      </c>
      <c r="E41" s="10">
        <v>4.5815289780979045</v>
      </c>
      <c r="F41" s="10">
        <v>4.6587357312496041</v>
      </c>
      <c r="G41" s="10">
        <v>4.7854698964781193</v>
      </c>
      <c r="H41" s="10">
        <v>4.8013478319250353</v>
      </c>
      <c r="I41" s="10">
        <v>4.6352588723716526</v>
      </c>
      <c r="J41" s="10">
        <v>5.0546723727511322</v>
      </c>
      <c r="K41" s="10">
        <v>4.297067755416669</v>
      </c>
      <c r="L41" s="10">
        <v>4.4426407927556397</v>
      </c>
      <c r="M41" s="10">
        <v>4.9249284276184717</v>
      </c>
      <c r="N41" s="10">
        <v>4.738499960058844</v>
      </c>
      <c r="O41" s="10">
        <v>4.5101910877474296</v>
      </c>
      <c r="P41" s="10">
        <v>4.612396325149831</v>
      </c>
      <c r="Q41" s="10">
        <v>4.9956893253400736</v>
      </c>
      <c r="R41" s="10">
        <v>4.6471529537223075</v>
      </c>
      <c r="S41" s="10">
        <v>5.3595069982337833</v>
      </c>
      <c r="T41" s="10">
        <v>4.4255624416810786</v>
      </c>
      <c r="U41" s="10"/>
      <c r="V41" s="4"/>
      <c r="W41" s="18">
        <f>AVERAGE(C41:T41)</f>
        <v>4.7290558880037183</v>
      </c>
      <c r="X41" s="18">
        <f>STDEV(C41:T41)</f>
        <v>0.25656645198255973</v>
      </c>
      <c r="Y41" s="5"/>
      <c r="Z41" s="27" t="s">
        <v>10</v>
      </c>
      <c r="AA41" s="27"/>
      <c r="AB41" s="27"/>
      <c r="AC41" s="27"/>
      <c r="AD41" s="28">
        <f>(4.2+4.5)/2</f>
        <v>4.3499999999999996</v>
      </c>
      <c r="AE41" s="27">
        <v>3.7</v>
      </c>
      <c r="AF41" s="7">
        <v>5.5</v>
      </c>
      <c r="AG41" s="28">
        <f>AD41-AE41</f>
        <v>0.64999999999999947</v>
      </c>
      <c r="AH41" s="28">
        <f>AF41-AD41</f>
        <v>1.1500000000000004</v>
      </c>
      <c r="AI41" s="8"/>
      <c r="AJ41" s="38">
        <f>(W41-AD41)/AD41*100</f>
        <v>8.7139284598556035</v>
      </c>
      <c r="AK41" s="14"/>
    </row>
    <row r="42" spans="1:37">
      <c r="A42" s="1" t="s">
        <v>11</v>
      </c>
      <c r="B42" s="1" t="s">
        <v>94</v>
      </c>
      <c r="C42" s="10">
        <v>0.91691607351244608</v>
      </c>
      <c r="D42" s="10">
        <v>0.57038160642087843</v>
      </c>
      <c r="E42" s="10">
        <v>0.53441905436868509</v>
      </c>
      <c r="F42" s="10">
        <v>0.71678574136697326</v>
      </c>
      <c r="G42" s="10">
        <v>0.63691123311716979</v>
      </c>
      <c r="H42" s="10">
        <v>0.77437566257260715</v>
      </c>
      <c r="I42" s="10">
        <v>0.86095179036832414</v>
      </c>
      <c r="J42" s="10">
        <v>0.91200871640021786</v>
      </c>
      <c r="K42" s="10">
        <v>0.72245223252882629</v>
      </c>
      <c r="L42" s="10">
        <v>0.80404777443190856</v>
      </c>
      <c r="M42" s="10">
        <v>0.48523699986396113</v>
      </c>
      <c r="N42" s="10">
        <v>0.70107946664636112</v>
      </c>
      <c r="O42" s="10">
        <v>0.77741068460181462</v>
      </c>
      <c r="P42" s="10">
        <v>1.1070916091249716</v>
      </c>
      <c r="Q42" s="10">
        <v>0.45351424162462345</v>
      </c>
      <c r="R42" s="10">
        <v>0.36801259573661521</v>
      </c>
      <c r="S42" s="10">
        <v>1.3825541010923414</v>
      </c>
      <c r="T42" s="10">
        <v>1.041760642933057</v>
      </c>
      <c r="U42" s="10"/>
      <c r="V42" s="4"/>
      <c r="W42" s="18">
        <f>AVERAGE(C42:T42)</f>
        <v>0.76477279037287671</v>
      </c>
      <c r="X42" s="18">
        <f>STDEV(C42:T42)</f>
        <v>0.25195935932195029</v>
      </c>
      <c r="Y42" s="5"/>
      <c r="Z42" s="27" t="s">
        <v>11</v>
      </c>
      <c r="AA42" s="27"/>
      <c r="AB42" s="27"/>
      <c r="AC42" s="27"/>
      <c r="AD42" s="33">
        <f>(0.62+0.8)/2</f>
        <v>0.71</v>
      </c>
      <c r="AE42" s="27">
        <v>0.4</v>
      </c>
      <c r="AF42" s="7">
        <v>1.76</v>
      </c>
      <c r="AG42" s="33">
        <f>AD42-AE42</f>
        <v>0.30999999999999994</v>
      </c>
      <c r="AH42" s="33">
        <f>AF42-AD42</f>
        <v>1.05</v>
      </c>
      <c r="AI42" s="8"/>
      <c r="AJ42" s="38">
        <f>(W42-AD42)/AD42*100</f>
        <v>7.7144775173065838</v>
      </c>
      <c r="AK42" s="14"/>
    </row>
    <row r="43" spans="1:37">
      <c r="A43" s="1" t="s">
        <v>12</v>
      </c>
      <c r="B43" s="1" t="s">
        <v>94</v>
      </c>
      <c r="C43" s="10">
        <v>4.7105557526505502</v>
      </c>
      <c r="D43" s="10">
        <v>5.0924408781909563</v>
      </c>
      <c r="E43" s="10">
        <v>6.6552378678012136</v>
      </c>
      <c r="F43" s="10">
        <v>3.4961018744283932</v>
      </c>
      <c r="G43" s="10">
        <v>3.5679330429468941</v>
      </c>
      <c r="H43" s="10">
        <v>2.9229431054558872</v>
      </c>
      <c r="I43" s="10">
        <v>4.418562220988437</v>
      </c>
      <c r="J43" s="10">
        <v>3.0979788886827047</v>
      </c>
      <c r="K43" s="10">
        <v>5.7673833529120149</v>
      </c>
      <c r="L43" s="10">
        <v>2.930318462737254</v>
      </c>
      <c r="M43" s="10">
        <v>3.96965669648415</v>
      </c>
      <c r="N43" s="10">
        <v>4.0754854431303169</v>
      </c>
      <c r="O43" s="10">
        <v>4.3776636348796227</v>
      </c>
      <c r="P43" s="10">
        <v>1.9032106383049991</v>
      </c>
      <c r="Q43" s="10">
        <v>3.3500973714039155</v>
      </c>
      <c r="R43" s="10">
        <v>4.2804402837074056</v>
      </c>
      <c r="S43" s="10">
        <v>4.9075481234753218</v>
      </c>
      <c r="T43" s="10">
        <v>2.4689900985680207</v>
      </c>
      <c r="U43" s="10"/>
      <c r="V43" s="4"/>
      <c r="W43" s="18">
        <f>AVERAGE(C43:T43)</f>
        <v>3.9995859853748916</v>
      </c>
      <c r="X43" s="18">
        <f>STDEV(C43:T43)</f>
        <v>1.1837223582899743</v>
      </c>
      <c r="Y43" s="5"/>
      <c r="Z43" s="27" t="s">
        <v>12</v>
      </c>
      <c r="AA43" s="27"/>
      <c r="AB43" s="27"/>
      <c r="AC43" s="27"/>
      <c r="AD43" s="34">
        <f>(2+2.5)/2</f>
        <v>2.25</v>
      </c>
      <c r="AE43" s="27">
        <v>1.65</v>
      </c>
      <c r="AF43" s="7">
        <v>4.8</v>
      </c>
      <c r="AG43" s="34">
        <f>AD43-AE43</f>
        <v>0.60000000000000009</v>
      </c>
      <c r="AH43" s="34">
        <f>AF43-AD43</f>
        <v>2.5499999999999998</v>
      </c>
      <c r="AI43" s="8"/>
      <c r="AJ43" s="38">
        <f>(W43-AD43)/AD43*100</f>
        <v>77.759377127772964</v>
      </c>
      <c r="AK43" s="14"/>
    </row>
    <row r="44" spans="1:37">
      <c r="A44" s="12"/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24"/>
      <c r="X44" s="19"/>
      <c r="Y44" s="13"/>
      <c r="Z44" s="27"/>
      <c r="AA44" s="27"/>
      <c r="AB44" s="27"/>
      <c r="AC44" s="27"/>
      <c r="AD44" s="27"/>
      <c r="AE44" s="27"/>
      <c r="AF44" s="26"/>
      <c r="AG44" s="27"/>
      <c r="AH44" s="27"/>
      <c r="AI44" s="13"/>
      <c r="AJ44" s="38"/>
      <c r="AK44" s="13"/>
    </row>
    <row r="45" spans="1:37">
      <c r="A45" s="1" t="s">
        <v>26</v>
      </c>
      <c r="B45" s="1" t="s">
        <v>94</v>
      </c>
      <c r="C45" s="3">
        <v>21.5137273555499</v>
      </c>
      <c r="D45" s="3">
        <v>21.308566255067188</v>
      </c>
      <c r="E45" s="3">
        <v>22.812622685517265</v>
      </c>
      <c r="F45" s="3">
        <v>22.212806247694459</v>
      </c>
      <c r="G45" s="3">
        <v>19.730111959603875</v>
      </c>
      <c r="H45" s="3">
        <v>21.281940210399711</v>
      </c>
      <c r="I45" s="3">
        <v>22.095265692875209</v>
      </c>
      <c r="J45" s="3">
        <v>24.041124839465567</v>
      </c>
      <c r="K45" s="3">
        <v>21.640627027473084</v>
      </c>
      <c r="L45" s="3">
        <v>21.467205419293919</v>
      </c>
      <c r="M45" s="3">
        <v>23.206898202059389</v>
      </c>
      <c r="N45" s="3">
        <v>22.799637202260381</v>
      </c>
      <c r="O45" s="3">
        <v>22.932408991888586</v>
      </c>
      <c r="P45" s="3">
        <v>22.851618225629636</v>
      </c>
      <c r="Q45" s="3">
        <v>23.236649092045042</v>
      </c>
      <c r="R45" s="3">
        <v>23.955643746536211</v>
      </c>
      <c r="S45" s="3">
        <v>24.831430441141297</v>
      </c>
      <c r="T45" s="3">
        <v>21.581632636551127</v>
      </c>
      <c r="U45" s="10"/>
      <c r="V45" s="4"/>
      <c r="W45" s="18">
        <f>AVERAGE(C45:T45)</f>
        <v>22.416662012836213</v>
      </c>
      <c r="X45" s="18">
        <f>STDEV(C45:T45)</f>
        <v>1.2316434852719562</v>
      </c>
      <c r="Y45" s="5"/>
      <c r="Z45" s="27" t="s">
        <v>26</v>
      </c>
      <c r="AA45" s="27"/>
      <c r="AB45" s="27"/>
      <c r="AC45" s="27"/>
      <c r="AD45" s="28">
        <f>(16.7+18)/2</f>
        <v>17.350000000000001</v>
      </c>
      <c r="AE45" s="27">
        <v>11.1</v>
      </c>
      <c r="AF45" s="7">
        <v>22.6</v>
      </c>
      <c r="AG45" s="28">
        <f>AD45-AE45</f>
        <v>6.2500000000000018</v>
      </c>
      <c r="AH45" s="28">
        <f>AF45-AD45</f>
        <v>5.25</v>
      </c>
      <c r="AI45" s="8"/>
      <c r="AJ45" s="38">
        <f>(W45-AD45)/AD45*100</f>
        <v>29.202662898191416</v>
      </c>
      <c r="AK45" s="14"/>
    </row>
    <row r="46" spans="1:37">
      <c r="A46" s="1" t="s">
        <v>27</v>
      </c>
      <c r="B46" s="1" t="s">
        <v>94</v>
      </c>
      <c r="C46" s="10">
        <v>1.7763371460463968</v>
      </c>
      <c r="D46" s="10">
        <v>1.5575572304253544</v>
      </c>
      <c r="E46" s="10">
        <v>1.5231499398576807</v>
      </c>
      <c r="F46" s="10">
        <v>1.3945536378741468</v>
      </c>
      <c r="G46" s="10">
        <v>1.1986974314798149</v>
      </c>
      <c r="H46" s="10">
        <v>0.89849836407365291</v>
      </c>
      <c r="I46" s="10">
        <v>1.0395441822326734</v>
      </c>
      <c r="J46" s="10">
        <v>1.2176131243363388</v>
      </c>
      <c r="K46" s="10">
        <v>0.77916693051875074</v>
      </c>
      <c r="L46" s="10">
        <v>1.4460541358672967</v>
      </c>
      <c r="M46" s="10">
        <v>0.75577281759940629</v>
      </c>
      <c r="N46" s="10">
        <v>0.79522443240301333</v>
      </c>
      <c r="O46" s="10">
        <v>0.75251755895709882</v>
      </c>
      <c r="P46" s="10">
        <v>1.8498119731131748</v>
      </c>
      <c r="Q46" s="10">
        <v>1.2303761056353779</v>
      </c>
      <c r="R46" s="10">
        <v>0.91407769313141618</v>
      </c>
      <c r="S46" s="10">
        <v>1.1969273563168688</v>
      </c>
      <c r="T46" s="10">
        <v>0.94770681853893024</v>
      </c>
      <c r="U46" s="10"/>
      <c r="V46" s="4"/>
      <c r="W46" s="18">
        <f>AVERAGE(C46:T46)</f>
        <v>1.1818659376892997</v>
      </c>
      <c r="X46" s="18">
        <f>STDEV(C46:T46)</f>
        <v>0.34987279778074132</v>
      </c>
      <c r="Y46" s="5"/>
      <c r="Z46" s="27" t="s">
        <v>27</v>
      </c>
      <c r="AA46" s="27"/>
      <c r="AB46" s="27"/>
      <c r="AC46" s="27"/>
      <c r="AD46" s="28">
        <f>(0.9+1.14)/2</f>
        <v>1.02</v>
      </c>
      <c r="AE46" s="27">
        <v>0.53</v>
      </c>
      <c r="AF46" s="7">
        <v>2.17</v>
      </c>
      <c r="AG46" s="28">
        <f>AD46-AE46</f>
        <v>0.49</v>
      </c>
      <c r="AH46" s="28">
        <f>AF46-AD46</f>
        <v>1.1499999999999999</v>
      </c>
      <c r="AI46" s="8"/>
      <c r="AJ46" s="38">
        <f>(W46-AD46)/AD46*100</f>
        <v>15.869209577382323</v>
      </c>
      <c r="AK46" s="14"/>
    </row>
    <row r="47" spans="1:37">
      <c r="A47" s="1" t="s">
        <v>28</v>
      </c>
      <c r="B47" s="1" t="s">
        <v>94</v>
      </c>
      <c r="C47" s="10">
        <v>0.14447607616964631</v>
      </c>
      <c r="D47" s="10">
        <v>0.17999507742884074</v>
      </c>
      <c r="E47" s="10">
        <v>0.20670959949350659</v>
      </c>
      <c r="F47" s="10">
        <v>0.16735969347346757</v>
      </c>
      <c r="G47" s="10">
        <v>0.19847456659892709</v>
      </c>
      <c r="H47" s="10">
        <v>0.10147775453668614</v>
      </c>
      <c r="I47" s="10">
        <v>0.19518937541888834</v>
      </c>
      <c r="J47" s="10">
        <v>0.11098887022717792</v>
      </c>
      <c r="K47" s="10">
        <v>0.20511263043217814</v>
      </c>
      <c r="L47" s="10">
        <v>0.2003850394768581</v>
      </c>
      <c r="M47" s="10">
        <v>0.17979213679294814</v>
      </c>
      <c r="N47" s="10">
        <v>0.22199562436315645</v>
      </c>
      <c r="O47" s="10">
        <v>0.19214550945072797</v>
      </c>
      <c r="P47" s="10">
        <v>0.15058483425450908</v>
      </c>
      <c r="Q47" s="10">
        <v>0.15906230348225067</v>
      </c>
      <c r="R47" s="10">
        <v>0.19271887933865126</v>
      </c>
      <c r="S47" s="10">
        <v>0.10944195141545614</v>
      </c>
      <c r="T47" s="10">
        <v>0.20259044795841713</v>
      </c>
      <c r="U47" s="10"/>
      <c r="V47" s="4"/>
      <c r="W47" s="18">
        <f>AVERAGE(C47:T47)</f>
        <v>0.1732500205729052</v>
      </c>
      <c r="X47" s="18">
        <f>STDEV(C47:T47)</f>
        <v>3.6563300243569255E-2</v>
      </c>
      <c r="Y47" s="5"/>
      <c r="Z47" s="27" t="s">
        <v>28</v>
      </c>
      <c r="AA47" s="27"/>
      <c r="AB47" s="27"/>
      <c r="AC47" s="27"/>
      <c r="AD47" s="30">
        <v>0.14000000000000001</v>
      </c>
      <c r="AE47" s="27">
        <v>9.1999999999999998E-2</v>
      </c>
      <c r="AF47" s="7">
        <v>1</v>
      </c>
      <c r="AG47" s="30">
        <f>AD47-AE47</f>
        <v>4.8000000000000015E-2</v>
      </c>
      <c r="AH47" s="30">
        <f>AF47-AD47</f>
        <v>0.86</v>
      </c>
      <c r="AI47" s="8"/>
      <c r="AJ47" s="38">
        <f>(W47-AD47)/AD47*100</f>
        <v>23.750014694932272</v>
      </c>
      <c r="AK47" s="14"/>
    </row>
    <row r="48" spans="1:37">
      <c r="A48" s="12"/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9"/>
      <c r="X48" s="19"/>
      <c r="Y48" s="13"/>
      <c r="Z48" s="27"/>
      <c r="AA48" s="27"/>
      <c r="AB48" s="27"/>
      <c r="AC48" s="27"/>
      <c r="AD48" s="27"/>
      <c r="AE48" s="27"/>
      <c r="AF48" s="26"/>
      <c r="AG48" s="27"/>
      <c r="AH48" s="27"/>
      <c r="AI48" s="13"/>
      <c r="AJ48" s="38"/>
      <c r="AK48" s="13"/>
    </row>
    <row r="49" spans="1:37">
      <c r="A49" s="1" t="s">
        <v>31</v>
      </c>
      <c r="B49" s="1" t="s">
        <v>94</v>
      </c>
      <c r="C49" s="3">
        <v>23.253092240550437</v>
      </c>
      <c r="D49" s="3">
        <v>23.004953789809303</v>
      </c>
      <c r="E49" s="3">
        <v>24.083126259175952</v>
      </c>
      <c r="F49" s="3">
        <v>23.544300600977575</v>
      </c>
      <c r="G49" s="3">
        <v>23.96857204650183</v>
      </c>
      <c r="H49" s="3">
        <v>22.602073354985219</v>
      </c>
      <c r="I49" s="3">
        <v>23.29108083678263</v>
      </c>
      <c r="J49" s="3">
        <v>23.977142294297114</v>
      </c>
      <c r="K49" s="3">
        <v>23.311034573171383</v>
      </c>
      <c r="L49" s="3">
        <v>24.10849434631092</v>
      </c>
      <c r="M49" s="3">
        <v>23.149581807251447</v>
      </c>
      <c r="N49" s="3">
        <v>23.822360314692368</v>
      </c>
      <c r="O49" s="3">
        <v>22.81164405876897</v>
      </c>
      <c r="P49" s="3">
        <v>23.832470051439319</v>
      </c>
      <c r="Q49" s="3">
        <v>23.800103130401297</v>
      </c>
      <c r="R49" s="3">
        <v>23.62073102331869</v>
      </c>
      <c r="S49" s="3">
        <v>23.39652250429431</v>
      </c>
      <c r="T49" s="3">
        <v>24.420090600645317</v>
      </c>
      <c r="U49" s="3"/>
      <c r="V49" s="4"/>
      <c r="W49" s="17">
        <f t="shared" ref="W49:W55" si="7">AVERAGE(C49:T49)</f>
        <v>23.555409657409673</v>
      </c>
      <c r="X49" s="18">
        <f t="shared" ref="X49:X55" si="8">STDEV(C49:T49)</f>
        <v>0.48922974459069907</v>
      </c>
      <c r="Y49" s="5"/>
      <c r="Z49" s="27" t="s">
        <v>31</v>
      </c>
      <c r="AA49" s="27"/>
      <c r="AB49" s="27"/>
      <c r="AC49" s="27"/>
      <c r="AD49" s="31">
        <f>(23.1+23.3)/2</f>
        <v>23.200000000000003</v>
      </c>
      <c r="AE49" s="27">
        <v>21</v>
      </c>
      <c r="AF49" s="7">
        <v>28.23</v>
      </c>
      <c r="AG49" s="31">
        <f t="shared" ref="AG49:AG55" si="9">AD49-AE49</f>
        <v>2.2000000000000028</v>
      </c>
      <c r="AH49" s="31">
        <f t="shared" ref="AH49:AH55" si="10">AF49-AD49</f>
        <v>5.0299999999999976</v>
      </c>
      <c r="AI49" s="8"/>
      <c r="AJ49" s="38">
        <f t="shared" ref="AJ49:AJ55" si="11">(W49-AD49)/AD49*100</f>
        <v>1.5319381784899553</v>
      </c>
      <c r="AK49" s="14"/>
    </row>
    <row r="50" spans="1:37">
      <c r="A50" s="1" t="s">
        <v>32</v>
      </c>
      <c r="B50" s="1" t="s">
        <v>94</v>
      </c>
      <c r="C50" s="10">
        <v>3.4665370057769689</v>
      </c>
      <c r="D50" s="10">
        <v>3.5843775374955671</v>
      </c>
      <c r="E50" s="10">
        <v>3.3152555571904467</v>
      </c>
      <c r="F50" s="10">
        <v>3.2969594619006659</v>
      </c>
      <c r="G50" s="10">
        <v>3.4316704794236323</v>
      </c>
      <c r="H50" s="10">
        <v>3.5618733790357013</v>
      </c>
      <c r="I50" s="10">
        <v>3.6779652086792329</v>
      </c>
      <c r="J50" s="10">
        <v>3.6127342074987721</v>
      </c>
      <c r="K50" s="10">
        <v>3.4947338040786211</v>
      </c>
      <c r="L50" s="10">
        <v>3.4973849973486018</v>
      </c>
      <c r="M50" s="10">
        <v>3.4706839863387908</v>
      </c>
      <c r="N50" s="10">
        <v>3.3855278015825454</v>
      </c>
      <c r="O50" s="10">
        <v>3.3438057810779735</v>
      </c>
      <c r="P50" s="10">
        <v>3.4892482967566703</v>
      </c>
      <c r="Q50" s="10">
        <v>3.4473332422692362</v>
      </c>
      <c r="R50" s="10">
        <v>3.588862925540969</v>
      </c>
      <c r="S50" s="10">
        <v>3.5013213827025891</v>
      </c>
      <c r="T50" s="10">
        <v>3.4879314061967048</v>
      </c>
      <c r="U50" s="10"/>
      <c r="V50" s="4"/>
      <c r="W50" s="18">
        <f t="shared" si="7"/>
        <v>3.4807892478274276</v>
      </c>
      <c r="X50" s="18">
        <f t="shared" si="8"/>
        <v>0.10265823726660969</v>
      </c>
      <c r="Y50" s="5"/>
      <c r="Z50" s="27" t="s">
        <v>32</v>
      </c>
      <c r="AA50" s="27"/>
      <c r="AB50" s="27"/>
      <c r="AC50" s="27"/>
      <c r="AD50" s="30">
        <f>(3.43+3.47)/2</f>
        <v>3.45</v>
      </c>
      <c r="AE50" s="27">
        <v>3.1</v>
      </c>
      <c r="AF50" s="7">
        <v>3.81</v>
      </c>
      <c r="AG50" s="30">
        <f t="shared" si="9"/>
        <v>0.35000000000000009</v>
      </c>
      <c r="AH50" s="30">
        <f t="shared" si="10"/>
        <v>0.35999999999999988</v>
      </c>
      <c r="AI50" s="8"/>
      <c r="AJ50" s="38">
        <f t="shared" si="11"/>
        <v>0.89244196601238912</v>
      </c>
      <c r="AK50" s="14"/>
    </row>
    <row r="51" spans="1:37">
      <c r="A51" s="1" t="s">
        <v>36</v>
      </c>
      <c r="B51" s="1" t="s">
        <v>94</v>
      </c>
      <c r="C51" s="10">
        <v>4.5830821591840163</v>
      </c>
      <c r="D51" s="10">
        <v>5.3219547374370864</v>
      </c>
      <c r="E51" s="10">
        <v>5.6367392362322395</v>
      </c>
      <c r="F51" s="10">
        <v>5.0178640906254133</v>
      </c>
      <c r="G51" s="10">
        <v>4.5752758828986906</v>
      </c>
      <c r="H51" s="10">
        <v>4.737072172409821</v>
      </c>
      <c r="I51" s="10">
        <v>5.5840071861276206</v>
      </c>
      <c r="J51" s="10">
        <v>5.3646023779611021</v>
      </c>
      <c r="K51" s="10">
        <v>5.2922489181746046</v>
      </c>
      <c r="L51" s="10">
        <v>4.5210030408122801</v>
      </c>
      <c r="M51" s="10">
        <v>5.7336516636173078</v>
      </c>
      <c r="N51" s="10">
        <v>6.2949361121930449</v>
      </c>
      <c r="O51" s="10">
        <v>5.0361152250838881</v>
      </c>
      <c r="P51" s="10">
        <v>4.813464258952596</v>
      </c>
      <c r="Q51" s="10">
        <v>5.2320921076485787</v>
      </c>
      <c r="R51" s="10">
        <v>6.1260977727347727</v>
      </c>
      <c r="S51" s="10">
        <v>4.9106071787085739</v>
      </c>
      <c r="T51" s="10">
        <v>5.016940055492169</v>
      </c>
      <c r="U51" s="10"/>
      <c r="V51" s="4"/>
      <c r="W51" s="18">
        <f t="shared" si="7"/>
        <v>5.2109863431274333</v>
      </c>
      <c r="X51" s="18">
        <f t="shared" si="8"/>
        <v>0.51459696674624344</v>
      </c>
      <c r="Y51" s="5"/>
      <c r="Z51" s="27" t="s">
        <v>36</v>
      </c>
      <c r="AA51" s="27"/>
      <c r="AB51" s="27"/>
      <c r="AC51" s="27"/>
      <c r="AD51" s="30">
        <f>(5.23+5.26)/2</f>
        <v>5.2450000000000001</v>
      </c>
      <c r="AE51" s="27">
        <v>4.4000000000000004</v>
      </c>
      <c r="AF51" s="7">
        <v>8</v>
      </c>
      <c r="AG51" s="28">
        <f t="shared" si="9"/>
        <v>0.84499999999999975</v>
      </c>
      <c r="AH51" s="28">
        <f t="shared" si="10"/>
        <v>2.7549999999999999</v>
      </c>
      <c r="AI51" s="8"/>
      <c r="AJ51" s="38">
        <f t="shared" si="11"/>
        <v>-0.64849679451986375</v>
      </c>
      <c r="AK51" s="14"/>
    </row>
    <row r="52" spans="1:37">
      <c r="A52" s="1" t="s">
        <v>37</v>
      </c>
      <c r="B52" s="1" t="s">
        <v>94</v>
      </c>
      <c r="C52" s="10">
        <v>0.8357098700595762</v>
      </c>
      <c r="D52" s="10">
        <v>0.86087037012934642</v>
      </c>
      <c r="E52" s="10">
        <v>0.90614849978810208</v>
      </c>
      <c r="F52" s="10">
        <v>0.81310478601222935</v>
      </c>
      <c r="G52" s="10">
        <v>0.87742944280413682</v>
      </c>
      <c r="H52" s="10">
        <v>0.82412777113677438</v>
      </c>
      <c r="I52" s="10">
        <v>0.77990404297625293</v>
      </c>
      <c r="J52" s="10">
        <v>0.74938288204582326</v>
      </c>
      <c r="K52" s="10">
        <v>0.76909501053915885</v>
      </c>
      <c r="L52" s="10">
        <v>0.82040815475723705</v>
      </c>
      <c r="M52" s="10">
        <v>0.8209718109519939</v>
      </c>
      <c r="N52" s="10">
        <v>0.71886268307336787</v>
      </c>
      <c r="O52" s="10">
        <v>0.81744810576472815</v>
      </c>
      <c r="P52" s="10">
        <v>0.76253992005565185</v>
      </c>
      <c r="Q52" s="10">
        <v>0.89301714978076674</v>
      </c>
      <c r="R52" s="10">
        <v>0.88603821166849606</v>
      </c>
      <c r="S52" s="10">
        <v>0.80709675048669982</v>
      </c>
      <c r="T52" s="10">
        <v>0.90274427004687552</v>
      </c>
      <c r="U52" s="10"/>
      <c r="V52" s="4"/>
      <c r="W52" s="18">
        <f t="shared" si="7"/>
        <v>0.82471665178206743</v>
      </c>
      <c r="X52" s="18">
        <f t="shared" si="8"/>
        <v>5.516313326929554E-2</v>
      </c>
      <c r="Y52" s="5"/>
      <c r="Z52" s="27" t="s">
        <v>37</v>
      </c>
      <c r="AA52" s="27"/>
      <c r="AB52" s="27"/>
      <c r="AC52" s="27"/>
      <c r="AD52" s="30">
        <f>(0.797+0.82)/2</f>
        <v>0.8085</v>
      </c>
      <c r="AE52" s="27">
        <v>0.68</v>
      </c>
      <c r="AF52" s="7">
        <v>0.94</v>
      </c>
      <c r="AG52" s="28">
        <f t="shared" si="9"/>
        <v>0.12849999999999995</v>
      </c>
      <c r="AH52" s="28">
        <f t="shared" si="10"/>
        <v>0.13149999999999995</v>
      </c>
      <c r="AI52" s="8"/>
      <c r="AJ52" s="38">
        <f t="shared" si="11"/>
        <v>2.0057701647578772</v>
      </c>
      <c r="AK52" s="14"/>
    </row>
    <row r="53" spans="1:37">
      <c r="A53" s="1" t="s">
        <v>38</v>
      </c>
      <c r="B53" s="1" t="s">
        <v>94</v>
      </c>
      <c r="C53" s="10">
        <v>4.5529912718863885</v>
      </c>
      <c r="D53" s="10">
        <v>4.9912942334645836</v>
      </c>
      <c r="E53" s="10">
        <v>4.9691144321640142</v>
      </c>
      <c r="F53" s="10">
        <v>4.6892352745979835</v>
      </c>
      <c r="G53" s="10">
        <v>4.6622006910379152</v>
      </c>
      <c r="H53" s="10">
        <v>4.6478453137268758</v>
      </c>
      <c r="I53" s="10">
        <v>5.001534146809945</v>
      </c>
      <c r="J53" s="10">
        <v>4.8368517816531122</v>
      </c>
      <c r="K53" s="10">
        <v>4.8943678398721122</v>
      </c>
      <c r="L53" s="10">
        <v>4.9513761484721979</v>
      </c>
      <c r="M53" s="10">
        <v>5.1459496232551851</v>
      </c>
      <c r="N53" s="10">
        <v>4.6597376830946464</v>
      </c>
      <c r="O53" s="10">
        <v>4.7837815877613803</v>
      </c>
      <c r="P53" s="10">
        <v>4.8882385998729596</v>
      </c>
      <c r="Q53" s="10">
        <v>4.6588566515751069</v>
      </c>
      <c r="R53" s="10">
        <v>4.8826904863684728</v>
      </c>
      <c r="S53" s="10">
        <v>4.7950312158445572</v>
      </c>
      <c r="T53" s="10">
        <v>4.6731208881768653</v>
      </c>
      <c r="U53" s="10"/>
      <c r="V53" s="4"/>
      <c r="W53" s="18">
        <f t="shared" si="7"/>
        <v>4.8157898816463502</v>
      </c>
      <c r="X53" s="18">
        <f t="shared" si="8"/>
        <v>0.16091781648938117</v>
      </c>
      <c r="Y53" s="5"/>
      <c r="Z53" s="27" t="s">
        <v>38</v>
      </c>
      <c r="AA53" s="27"/>
      <c r="AB53" s="27"/>
      <c r="AC53" s="27"/>
      <c r="AD53" s="30">
        <f>(4.81+4.84)/2</f>
        <v>4.8249999999999993</v>
      </c>
      <c r="AE53" s="27">
        <v>3.63</v>
      </c>
      <c r="AF53" s="7">
        <v>5.6</v>
      </c>
      <c r="AG53" s="30">
        <f t="shared" si="9"/>
        <v>1.1949999999999994</v>
      </c>
      <c r="AH53" s="30">
        <f t="shared" si="10"/>
        <v>0.77500000000000036</v>
      </c>
      <c r="AI53" s="8"/>
      <c r="AJ53" s="38">
        <f t="shared" si="11"/>
        <v>-0.19088328194091286</v>
      </c>
      <c r="AK53" s="14"/>
    </row>
    <row r="54" spans="1:37">
      <c r="A54" s="1" t="s">
        <v>39</v>
      </c>
      <c r="B54" s="1" t="s">
        <v>94</v>
      </c>
      <c r="C54" s="10">
        <v>0.99055869454807266</v>
      </c>
      <c r="D54" s="10">
        <v>0.98279620055861805</v>
      </c>
      <c r="E54" s="10">
        <v>0.82528075785433275</v>
      </c>
      <c r="F54" s="10">
        <v>0.91433118382784162</v>
      </c>
      <c r="G54" s="10">
        <v>0.85063700742124448</v>
      </c>
      <c r="H54" s="10">
        <v>0.9226407451978883</v>
      </c>
      <c r="I54" s="10">
        <v>0.9017330521610194</v>
      </c>
      <c r="J54" s="10">
        <v>0.80632554334758644</v>
      </c>
      <c r="K54" s="10">
        <v>0.88442645011376464</v>
      </c>
      <c r="L54" s="10">
        <v>0.95901855601739661</v>
      </c>
      <c r="M54" s="10">
        <v>0.90516984557615199</v>
      </c>
      <c r="N54" s="10">
        <v>0.98860617385191174</v>
      </c>
      <c r="O54" s="10">
        <v>0.97348153613841504</v>
      </c>
      <c r="P54" s="10">
        <v>1.0335788021183168</v>
      </c>
      <c r="Q54" s="10">
        <v>1.0121786877437222</v>
      </c>
      <c r="R54" s="10">
        <v>1.0206997213731688</v>
      </c>
      <c r="S54" s="10">
        <v>0.92728875208739137</v>
      </c>
      <c r="T54" s="10">
        <v>0.89198348833336882</v>
      </c>
      <c r="U54" s="10"/>
      <c r="V54" s="4"/>
      <c r="W54" s="18">
        <f t="shared" si="7"/>
        <v>0.93281862212612288</v>
      </c>
      <c r="X54" s="18">
        <f t="shared" si="8"/>
        <v>6.6859069010397135E-2</v>
      </c>
      <c r="Y54" s="5"/>
      <c r="Z54" s="27" t="s">
        <v>39</v>
      </c>
      <c r="AA54" s="27"/>
      <c r="AB54" s="27"/>
      <c r="AC54" s="27"/>
      <c r="AD54" s="30">
        <f>(0.906+0.91)/2</f>
        <v>0.90800000000000003</v>
      </c>
      <c r="AE54" s="27">
        <v>0.69</v>
      </c>
      <c r="AF54" s="7">
        <v>1.04</v>
      </c>
      <c r="AG54" s="30">
        <f t="shared" si="9"/>
        <v>0.21800000000000008</v>
      </c>
      <c r="AH54" s="30">
        <f t="shared" si="10"/>
        <v>0.13200000000000001</v>
      </c>
      <c r="AI54" s="8"/>
      <c r="AJ54" s="38">
        <f t="shared" si="11"/>
        <v>2.7333284279870975</v>
      </c>
      <c r="AK54" s="14"/>
    </row>
    <row r="55" spans="1:37">
      <c r="A55" s="1" t="s">
        <v>40</v>
      </c>
      <c r="B55" s="1" t="s">
        <v>94</v>
      </c>
      <c r="C55" s="10">
        <v>2.7668901369993795</v>
      </c>
      <c r="D55" s="10">
        <v>2.6293911426773295</v>
      </c>
      <c r="E55" s="10">
        <v>2.129849426349637</v>
      </c>
      <c r="F55" s="10">
        <v>2.4164636698712831</v>
      </c>
      <c r="G55" s="10">
        <v>2.4324792641945567</v>
      </c>
      <c r="H55" s="10">
        <v>2.6278866672183194</v>
      </c>
      <c r="I55" s="10">
        <v>2.5763532438950958</v>
      </c>
      <c r="J55" s="10">
        <v>2.3852293028435501</v>
      </c>
      <c r="K55" s="10">
        <v>2.5867287215365717</v>
      </c>
      <c r="L55" s="10">
        <v>2.4015203802321916</v>
      </c>
      <c r="M55" s="10">
        <v>2.3992978646861869</v>
      </c>
      <c r="N55" s="10">
        <v>2.417340596112878</v>
      </c>
      <c r="O55" s="10">
        <v>2.6308178032869907</v>
      </c>
      <c r="P55" s="10">
        <v>2.4632764258318076</v>
      </c>
      <c r="Q55" s="10">
        <v>2.4126770713290426</v>
      </c>
      <c r="R55" s="10">
        <v>2.3511537607652158</v>
      </c>
      <c r="S55" s="10">
        <v>2.535635077788188</v>
      </c>
      <c r="T55" s="10">
        <v>2.4522840300768265</v>
      </c>
      <c r="U55" s="10"/>
      <c r="V55" s="4"/>
      <c r="W55" s="18">
        <f t="shared" si="7"/>
        <v>2.4786263658719472</v>
      </c>
      <c r="X55" s="18">
        <f t="shared" si="8"/>
        <v>0.14341180324706415</v>
      </c>
      <c r="Y55" s="5"/>
      <c r="Z55" s="27" t="s">
        <v>40</v>
      </c>
      <c r="AA55" s="27"/>
      <c r="AB55" s="27"/>
      <c r="AC55" s="27"/>
      <c r="AD55" s="28">
        <f>(2.44+2.46)/2</f>
        <v>2.4500000000000002</v>
      </c>
      <c r="AE55" s="27">
        <v>1.73</v>
      </c>
      <c r="AF55" s="7">
        <v>2.76</v>
      </c>
      <c r="AG55" s="28">
        <f t="shared" si="9"/>
        <v>0.7200000000000002</v>
      </c>
      <c r="AH55" s="28">
        <f t="shared" si="10"/>
        <v>0.30999999999999961</v>
      </c>
      <c r="AI55" s="8"/>
      <c r="AJ55" s="38">
        <f t="shared" si="11"/>
        <v>1.1684230968141633</v>
      </c>
      <c r="AK55" s="14"/>
    </row>
    <row r="56" spans="1:37">
      <c r="A56" s="1"/>
      <c r="B56" s="1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4"/>
      <c r="W56" s="17"/>
      <c r="X56" s="18"/>
      <c r="Y56" s="5"/>
      <c r="Z56" s="27"/>
      <c r="AA56" s="27"/>
      <c r="AB56" s="27"/>
      <c r="AC56" s="27"/>
      <c r="AD56" s="28"/>
      <c r="AE56" s="27"/>
      <c r="AF56" s="7"/>
      <c r="AG56" s="28"/>
      <c r="AH56" s="28"/>
      <c r="AI56" s="8"/>
      <c r="AJ56" s="38"/>
      <c r="AK56" s="14"/>
    </row>
    <row r="57" spans="1:37">
      <c r="A57" s="1" t="s">
        <v>47</v>
      </c>
      <c r="B57" s="1" t="s">
        <v>94</v>
      </c>
      <c r="C57" s="10">
        <v>1.4602788070207975</v>
      </c>
      <c r="D57" s="10">
        <v>1.2497028641150691</v>
      </c>
      <c r="E57" s="10">
        <v>1.5387103927777113</v>
      </c>
      <c r="F57" s="10">
        <v>1.2886069767273491</v>
      </c>
      <c r="G57" s="10">
        <v>1.306817880928471</v>
      </c>
      <c r="H57" s="10">
        <v>1.2529652591876557</v>
      </c>
      <c r="I57" s="10">
        <v>1.2314669894963832</v>
      </c>
      <c r="J57" s="10">
        <v>1.3784351219820596</v>
      </c>
      <c r="K57" s="10">
        <v>1.3844909881934244</v>
      </c>
      <c r="L57" s="10">
        <v>1.40874992295051</v>
      </c>
      <c r="M57" s="10">
        <v>1.318695119885795</v>
      </c>
      <c r="N57" s="10">
        <v>1.3622363681098368</v>
      </c>
      <c r="O57" s="10">
        <v>1.3386057510262381</v>
      </c>
      <c r="P57" s="10">
        <v>1.4965453851613388</v>
      </c>
      <c r="Q57" s="10">
        <v>1.6403871009500772</v>
      </c>
      <c r="R57" s="10">
        <v>1.3990829191354148</v>
      </c>
      <c r="S57" s="10">
        <v>1.3129547053046415</v>
      </c>
      <c r="T57" s="10">
        <v>1.3383763681983727</v>
      </c>
      <c r="U57" s="10"/>
      <c r="V57" s="4"/>
      <c r="W57" s="18">
        <f>AVERAGE(C57:T57)</f>
        <v>1.3726171622861749</v>
      </c>
      <c r="X57" s="18">
        <f>STDEV(C57:T57)</f>
        <v>0.10686732117905293</v>
      </c>
      <c r="Y57" s="5"/>
      <c r="Z57" s="27" t="s">
        <v>47</v>
      </c>
      <c r="AA57" s="27"/>
      <c r="AB57" s="27"/>
      <c r="AC57" s="27"/>
      <c r="AD57" s="30">
        <f>(1.38+1.45)/2</f>
        <v>1.415</v>
      </c>
      <c r="AE57" s="27">
        <v>1.03</v>
      </c>
      <c r="AF57" s="7">
        <v>12</v>
      </c>
      <c r="AG57" s="30">
        <f>AD57-AE57</f>
        <v>0.38500000000000001</v>
      </c>
      <c r="AH57" s="30">
        <f>AF57-AD57</f>
        <v>10.585000000000001</v>
      </c>
      <c r="AI57" s="8"/>
      <c r="AJ57" s="38">
        <f>(W57-AD57)/AD57*100</f>
        <v>-2.9952535486802203</v>
      </c>
      <c r="AK57" s="14"/>
    </row>
    <row r="58" spans="1:37">
      <c r="A58" s="1" t="s">
        <v>46</v>
      </c>
      <c r="B58" s="1" t="s">
        <v>94</v>
      </c>
      <c r="C58" s="10">
        <v>0.3460359461317542</v>
      </c>
      <c r="D58" s="10">
        <v>0.32443714072396834</v>
      </c>
      <c r="E58" s="10">
        <v>0.39632448074515686</v>
      </c>
      <c r="F58" s="10">
        <v>0.32948350049168795</v>
      </c>
      <c r="G58" s="10">
        <v>0.52434425907089299</v>
      </c>
      <c r="H58" s="10">
        <v>0.41896164019787663</v>
      </c>
      <c r="I58" s="10">
        <v>0.51186769227318851</v>
      </c>
      <c r="J58" s="10">
        <v>0.53245046181013012</v>
      </c>
      <c r="K58" s="10">
        <v>0.67457636660814546</v>
      </c>
      <c r="L58" s="10">
        <v>0.48464986596986115</v>
      </c>
      <c r="M58" s="10">
        <v>0.56324709313656407</v>
      </c>
      <c r="N58" s="10">
        <v>0.39885197717052928</v>
      </c>
      <c r="O58" s="10">
        <v>0.44952808829923929</v>
      </c>
      <c r="P58" s="10">
        <v>0.52063650858612909</v>
      </c>
      <c r="Q58" s="10">
        <v>0.40070300774069745</v>
      </c>
      <c r="R58" s="10">
        <v>0.49166773680355752</v>
      </c>
      <c r="S58" s="10">
        <v>0.46406423782396305</v>
      </c>
      <c r="T58" s="10">
        <v>0.35123755088440162</v>
      </c>
      <c r="U58" s="10"/>
      <c r="V58" s="4"/>
      <c r="W58" s="18">
        <f>AVERAGE(C58:T58)</f>
        <v>0.45461486413709679</v>
      </c>
      <c r="X58" s="18">
        <f>STDEV(C58:T58)</f>
        <v>9.295690849305481E-2</v>
      </c>
      <c r="Y58" s="5"/>
      <c r="Z58" s="27" t="s">
        <v>46</v>
      </c>
      <c r="AA58" s="27"/>
      <c r="AB58" s="27"/>
      <c r="AC58" s="27"/>
      <c r="AD58" s="33">
        <v>0.35</v>
      </c>
      <c r="AE58" s="27">
        <v>0.23300000000000001</v>
      </c>
      <c r="AF58" s="7">
        <v>0.53300000000000003</v>
      </c>
      <c r="AG58" s="33">
        <f>AD58-AE58</f>
        <v>0.11699999999999997</v>
      </c>
      <c r="AH58" s="33">
        <f>AF58-AD58</f>
        <v>0.18300000000000005</v>
      </c>
      <c r="AI58" s="8"/>
      <c r="AJ58" s="38">
        <f>(W58-AD58)/AD58*100</f>
        <v>29.889961182027662</v>
      </c>
      <c r="AK58" s="14"/>
    </row>
    <row r="59" spans="1:37">
      <c r="A59" s="1" t="s">
        <v>49</v>
      </c>
      <c r="B59" s="1" t="s">
        <v>94</v>
      </c>
      <c r="C59" s="10">
        <v>0.45823162501253339</v>
      </c>
      <c r="D59" s="10">
        <v>0.40843252385108736</v>
      </c>
      <c r="E59" s="10">
        <v>0.5315361316318109</v>
      </c>
      <c r="F59" s="10">
        <v>0.49096883204173153</v>
      </c>
      <c r="G59" s="10">
        <v>0.45628345172581986</v>
      </c>
      <c r="H59" s="10">
        <v>0.45183142067631232</v>
      </c>
      <c r="I59" s="10">
        <v>0.5306750299948193</v>
      </c>
      <c r="J59" s="10">
        <v>0.5041896732033081</v>
      </c>
      <c r="K59" s="10">
        <v>0.52236966044704169</v>
      </c>
      <c r="L59" s="10">
        <v>0.50359658002625118</v>
      </c>
      <c r="M59" s="10">
        <v>0.56792699511357803</v>
      </c>
      <c r="N59" s="10">
        <v>0.53243179968693943</v>
      </c>
      <c r="O59" s="10">
        <v>0.53024707893760592</v>
      </c>
      <c r="P59" s="10">
        <v>0.56409254068675374</v>
      </c>
      <c r="Q59" s="10">
        <v>0.45554999586229356</v>
      </c>
      <c r="R59" s="10">
        <v>0.50114793551003622</v>
      </c>
      <c r="S59" s="10">
        <v>0.52432586344420229</v>
      </c>
      <c r="T59" s="10">
        <v>0.43356323362130195</v>
      </c>
      <c r="U59" s="10"/>
      <c r="V59" s="4"/>
      <c r="W59" s="18">
        <f>AVERAGE(C59:T59)</f>
        <v>0.49818890952630146</v>
      </c>
      <c r="X59" s="18">
        <f>STDEV(C59:T59)</f>
        <v>4.5062567705016099E-2</v>
      </c>
      <c r="Y59" s="5"/>
      <c r="Z59" s="27" t="s">
        <v>49</v>
      </c>
      <c r="AA59" s="27"/>
      <c r="AB59" s="27"/>
      <c r="AC59" s="27"/>
      <c r="AD59" s="30">
        <f>(0.44+0.442)/2</f>
        <v>0.441</v>
      </c>
      <c r="AE59" s="27">
        <v>0.35</v>
      </c>
      <c r="AF59" s="7">
        <v>0.65900000000000003</v>
      </c>
      <c r="AG59" s="30">
        <f>AD59-AE59</f>
        <v>9.1000000000000025E-2</v>
      </c>
      <c r="AH59" s="30">
        <f>AF59-AD59</f>
        <v>0.21800000000000003</v>
      </c>
      <c r="AI59" s="8"/>
      <c r="AJ59" s="38">
        <f>(W59-AD59)/AD59*100</f>
        <v>12.968006695306453</v>
      </c>
      <c r="AK59" s="14"/>
    </row>
    <row r="60" spans="1:37">
      <c r="A60" s="12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zoomScale="80" zoomScaleNormal="80" zoomScalePageLayoutView="80" workbookViewId="0">
      <pane xSplit="2" ySplit="4" topLeftCell="C5" activePane="bottomRight" state="frozen"/>
      <selection pane="topRight" activeCell="E1" sqref="E1"/>
      <selection pane="bottomLeft" activeCell="A13" sqref="A13"/>
      <selection pane="bottomRight" sqref="A1:A3"/>
    </sheetView>
  </sheetViews>
  <sheetFormatPr baseColWidth="10" defaultColWidth="8.5" defaultRowHeight="12" x14ac:dyDescent="0"/>
  <cols>
    <col min="1" max="1" width="8.5" style="54"/>
    <col min="2" max="2" width="8.5" style="54" customWidth="1"/>
    <col min="3" max="3" width="8.5" style="54"/>
    <col min="4" max="4" width="10.33203125" style="54" customWidth="1"/>
    <col min="5" max="5" width="9.5" style="54" customWidth="1"/>
    <col min="6" max="6" width="8.5" style="54"/>
    <col min="7" max="8" width="9.1640625" style="54" customWidth="1"/>
    <col min="9" max="9" width="8.5" style="54"/>
    <col min="10" max="10" width="10.5" style="54" customWidth="1"/>
    <col min="11" max="16384" width="8.5" style="54"/>
  </cols>
  <sheetData>
    <row r="1" spans="1:18" ht="16">
      <c r="A1" s="69" t="s">
        <v>288</v>
      </c>
    </row>
    <row r="2" spans="1:18">
      <c r="A2" s="67" t="s">
        <v>289</v>
      </c>
    </row>
    <row r="3" spans="1:18" ht="15">
      <c r="A3" s="70" t="s">
        <v>291</v>
      </c>
    </row>
    <row r="4" spans="1:18" s="48" customFormat="1">
      <c r="A4" s="47" t="s">
        <v>135</v>
      </c>
      <c r="B4" s="48" t="s">
        <v>134</v>
      </c>
      <c r="C4" s="48" t="s">
        <v>135</v>
      </c>
      <c r="D4" s="48" t="s">
        <v>99</v>
      </c>
      <c r="E4" s="48" t="s">
        <v>102</v>
      </c>
      <c r="F4" s="48" t="s">
        <v>107</v>
      </c>
      <c r="G4" s="48" t="s">
        <v>108</v>
      </c>
      <c r="H4" s="48" t="s">
        <v>110</v>
      </c>
      <c r="I4" s="48" t="s">
        <v>112</v>
      </c>
      <c r="J4" s="48" t="s">
        <v>113</v>
      </c>
      <c r="K4" s="48" t="s">
        <v>115</v>
      </c>
      <c r="L4" s="48" t="s">
        <v>117</v>
      </c>
      <c r="M4" s="48" t="s">
        <v>119</v>
      </c>
      <c r="N4" s="48" t="s">
        <v>121</v>
      </c>
      <c r="O4" s="48" t="s">
        <v>127</v>
      </c>
      <c r="P4" s="48" t="s">
        <v>129</v>
      </c>
      <c r="Q4" s="48" t="s">
        <v>130</v>
      </c>
      <c r="R4" s="48" t="s">
        <v>132</v>
      </c>
    </row>
    <row r="5" spans="1:18" s="49" customFormat="1">
      <c r="A5" s="49" t="s">
        <v>274</v>
      </c>
      <c r="B5" s="49" t="s">
        <v>151</v>
      </c>
      <c r="D5" s="50">
        <v>10249.771919999999</v>
      </c>
      <c r="E5" s="50">
        <v>24387.73272</v>
      </c>
      <c r="F5" s="49">
        <v>20.291999999999998</v>
      </c>
      <c r="G5" s="50">
        <v>74641.408800000005</v>
      </c>
      <c r="H5" s="49">
        <v>10425.300000000001</v>
      </c>
      <c r="I5" s="49">
        <v>1550.3999999999999</v>
      </c>
      <c r="J5" s="49">
        <v>1799.4455400000002</v>
      </c>
      <c r="K5" s="49">
        <v>235.98</v>
      </c>
      <c r="L5" s="49">
        <v>521.55000000000007</v>
      </c>
      <c r="M5" s="49">
        <v>666.32999999999993</v>
      </c>
      <c r="N5" s="49">
        <v>59.736000000000004</v>
      </c>
      <c r="O5" s="49">
        <v>16.701000000000001</v>
      </c>
      <c r="P5" s="49">
        <v>1.5731999999999999</v>
      </c>
      <c r="Q5" s="49">
        <v>0.38190000000000002</v>
      </c>
      <c r="R5" s="49">
        <v>0.1653</v>
      </c>
    </row>
    <row r="6" spans="1:18" s="49" customFormat="1">
      <c r="A6" s="49" t="s">
        <v>274</v>
      </c>
      <c r="B6" s="49" t="s">
        <v>152</v>
      </c>
      <c r="D6" s="50">
        <v>10043.507159999999</v>
      </c>
      <c r="E6" s="50">
        <v>23259.337920000002</v>
      </c>
      <c r="F6" s="49">
        <v>19.95</v>
      </c>
      <c r="G6" s="50">
        <v>72259.812000000005</v>
      </c>
      <c r="H6" s="49">
        <v>9786.9</v>
      </c>
      <c r="I6" s="49">
        <v>1485.4199999999998</v>
      </c>
      <c r="J6" s="49">
        <v>1612.69416</v>
      </c>
      <c r="K6" s="49">
        <v>247.95</v>
      </c>
      <c r="L6" s="49">
        <v>666.9</v>
      </c>
      <c r="M6" s="49">
        <v>650.37</v>
      </c>
      <c r="N6" s="49">
        <v>60.42</v>
      </c>
      <c r="O6" s="49">
        <v>17.898</v>
      </c>
      <c r="P6" s="49">
        <v>1.7384999999999999</v>
      </c>
      <c r="Q6" s="49">
        <v>0.30780000000000002</v>
      </c>
      <c r="R6" s="49">
        <v>0.11969999999999999</v>
      </c>
    </row>
    <row r="7" spans="1:18" s="49" customFormat="1">
      <c r="A7" s="49" t="s">
        <v>274</v>
      </c>
      <c r="B7" s="49" t="s">
        <v>153</v>
      </c>
      <c r="D7" s="50">
        <v>7563.8762800000004</v>
      </c>
      <c r="E7" s="50">
        <v>19988.298720000003</v>
      </c>
      <c r="F7" s="49">
        <v>22.155999999999999</v>
      </c>
      <c r="G7" s="50">
        <v>70498.304000000004</v>
      </c>
      <c r="H7" s="49">
        <v>9639.5999999999985</v>
      </c>
      <c r="I7" s="49">
        <v>1409.98</v>
      </c>
      <c r="J7" s="49">
        <v>1762.6403000000003</v>
      </c>
      <c r="K7" s="49">
        <v>260.42</v>
      </c>
      <c r="L7" s="49">
        <v>591.02</v>
      </c>
      <c r="M7" s="49">
        <v>484.29999999999995</v>
      </c>
      <c r="N7" s="49">
        <v>59.101999999999997</v>
      </c>
      <c r="O7" s="49">
        <v>20.88</v>
      </c>
      <c r="P7" s="49">
        <v>3.7120000000000002</v>
      </c>
      <c r="Q7" s="49">
        <v>0.44080000000000003</v>
      </c>
      <c r="R7" s="49">
        <v>0.15079999999999999</v>
      </c>
    </row>
    <row r="8" spans="1:18" s="49" customFormat="1">
      <c r="A8" s="49" t="s">
        <v>274</v>
      </c>
      <c r="B8" s="49" t="s">
        <v>154</v>
      </c>
      <c r="D8" s="50">
        <v>10194.239099999999</v>
      </c>
      <c r="E8" s="50">
        <v>24008.400000000001</v>
      </c>
      <c r="F8" s="49">
        <v>23.654999999999998</v>
      </c>
      <c r="G8" s="50">
        <v>74262.518400000001</v>
      </c>
      <c r="H8" s="49">
        <v>10037.699999999999</v>
      </c>
      <c r="I8" s="49">
        <v>1464.8999999999999</v>
      </c>
      <c r="J8" s="49">
        <v>1720.9052399999998</v>
      </c>
      <c r="K8" s="49">
        <v>244.53</v>
      </c>
      <c r="L8" s="49">
        <v>523.82999999999993</v>
      </c>
      <c r="M8" s="49">
        <v>645.24</v>
      </c>
      <c r="N8" s="49">
        <v>60.99</v>
      </c>
      <c r="O8" s="49">
        <v>17.442</v>
      </c>
      <c r="P8" s="49">
        <v>1.6815</v>
      </c>
      <c r="Q8" s="49">
        <v>0.75239999999999996</v>
      </c>
      <c r="R8" s="49">
        <v>0.12767999999999999</v>
      </c>
    </row>
    <row r="9" spans="1:18" s="49" customFormat="1">
      <c r="A9" s="49" t="s">
        <v>274</v>
      </c>
      <c r="B9" s="49" t="s">
        <v>155</v>
      </c>
      <c r="D9" s="50">
        <v>9325.547129999999</v>
      </c>
      <c r="E9" s="50">
        <v>23624.265600000002</v>
      </c>
      <c r="F9" s="49">
        <v>22.116</v>
      </c>
      <c r="G9" s="50">
        <v>71989.176000000007</v>
      </c>
      <c r="H9" s="49">
        <v>9547.5</v>
      </c>
      <c r="I9" s="49">
        <v>1402.2</v>
      </c>
      <c r="J9" s="49">
        <v>1739.6676449999998</v>
      </c>
      <c r="K9" s="49">
        <v>270.75</v>
      </c>
      <c r="L9" s="49">
        <v>572.28</v>
      </c>
      <c r="M9" s="49">
        <v>620.16000000000008</v>
      </c>
      <c r="N9" s="49">
        <v>61.844999999999999</v>
      </c>
      <c r="O9" s="49">
        <v>17.955000000000002</v>
      </c>
      <c r="P9" s="49">
        <v>1.3394999999999999</v>
      </c>
      <c r="Q9" s="49">
        <v>0.51870000000000005</v>
      </c>
      <c r="R9" s="49">
        <v>9.8040000000000002E-2</v>
      </c>
    </row>
    <row r="10" spans="1:18" s="49" customFormat="1">
      <c r="A10" s="49" t="s">
        <v>274</v>
      </c>
      <c r="B10" s="49" t="s">
        <v>156</v>
      </c>
      <c r="D10" s="50">
        <v>8952.3359600000003</v>
      </c>
      <c r="E10" s="50">
        <v>22900.30704</v>
      </c>
      <c r="F10" s="49">
        <v>22.678000000000001</v>
      </c>
      <c r="G10" s="50">
        <v>72370.915200000003</v>
      </c>
      <c r="H10" s="49">
        <v>9517.7999999999993</v>
      </c>
      <c r="I10" s="49">
        <v>1412.8799999999999</v>
      </c>
      <c r="J10" s="49">
        <v>1811.03521</v>
      </c>
      <c r="K10" s="49">
        <v>300.44</v>
      </c>
      <c r="L10" s="49">
        <v>577.68000000000006</v>
      </c>
      <c r="M10" s="49">
        <v>552.74</v>
      </c>
      <c r="N10" s="49">
        <v>61.248000000000005</v>
      </c>
      <c r="O10" s="49">
        <v>13.92</v>
      </c>
      <c r="P10" s="49">
        <v>1.6936</v>
      </c>
      <c r="Q10" s="49">
        <v>0.48139999999999999</v>
      </c>
      <c r="R10" s="49">
        <v>0.37120000000000003</v>
      </c>
    </row>
    <row r="11" spans="1:18" s="49" customFormat="1">
      <c r="A11" s="49" t="s">
        <v>274</v>
      </c>
      <c r="B11" s="49" t="s">
        <v>157</v>
      </c>
      <c r="D11" s="50">
        <v>10130.773020000001</v>
      </c>
      <c r="E11" s="50">
        <v>28061.017919999998</v>
      </c>
      <c r="F11" s="49">
        <v>20.349</v>
      </c>
      <c r="G11" s="50">
        <v>73667.119200000001</v>
      </c>
      <c r="H11" s="49">
        <v>10174.5</v>
      </c>
      <c r="I11" s="49">
        <v>1573.2</v>
      </c>
      <c r="J11" s="49">
        <v>1930.3460400000001</v>
      </c>
      <c r="K11" s="49">
        <v>252.51</v>
      </c>
      <c r="L11" s="49">
        <v>520.41000000000008</v>
      </c>
      <c r="M11" s="49">
        <v>767.22</v>
      </c>
      <c r="N11" s="49">
        <v>69.653999999999996</v>
      </c>
      <c r="O11" s="49">
        <v>23.483999999999998</v>
      </c>
      <c r="P11" s="49">
        <v>1.6929000000000001</v>
      </c>
      <c r="Q11" s="49">
        <v>0.32490000000000002</v>
      </c>
      <c r="R11" s="49">
        <v>7.7520000000000006E-2</v>
      </c>
    </row>
    <row r="12" spans="1:18" s="49" customFormat="1">
      <c r="A12" s="49" t="s">
        <v>274</v>
      </c>
      <c r="B12" s="49" t="s">
        <v>158</v>
      </c>
      <c r="D12" s="50">
        <v>9206.5482299999985</v>
      </c>
      <c r="E12" s="50">
        <v>23384.1816</v>
      </c>
      <c r="F12" s="49">
        <v>20.576999999999998</v>
      </c>
      <c r="G12" s="50">
        <v>72097.430399999997</v>
      </c>
      <c r="H12" s="49">
        <v>9912.3000000000011</v>
      </c>
      <c r="I12" s="49">
        <v>1527.6000000000001</v>
      </c>
      <c r="J12" s="49">
        <v>1839.5883599999997</v>
      </c>
      <c r="K12" s="49">
        <v>251.94</v>
      </c>
      <c r="L12" s="49">
        <v>565.43999999999994</v>
      </c>
      <c r="M12" s="49">
        <v>636.68999999999994</v>
      </c>
      <c r="N12" s="49">
        <v>65.664000000000001</v>
      </c>
      <c r="O12" s="49">
        <v>14.535</v>
      </c>
      <c r="P12" s="49">
        <v>4.5030000000000001</v>
      </c>
      <c r="Q12" s="49">
        <v>0.41039999999999999</v>
      </c>
      <c r="R12" s="49">
        <v>0.45600000000000002</v>
      </c>
    </row>
    <row r="13" spans="1:18" s="49" customFormat="1">
      <c r="A13" s="49" t="s">
        <v>274</v>
      </c>
      <c r="B13" s="49" t="s">
        <v>159</v>
      </c>
      <c r="D13" s="50">
        <v>7854.4841199999992</v>
      </c>
      <c r="E13" s="50">
        <v>20721.186720000005</v>
      </c>
      <c r="F13" s="49">
        <v>22.272000000000002</v>
      </c>
      <c r="G13" s="50">
        <v>77713.364799999996</v>
      </c>
      <c r="H13" s="49">
        <v>10266</v>
      </c>
      <c r="I13" s="49">
        <v>1542.8000000000002</v>
      </c>
      <c r="J13" s="49">
        <v>1729.7850399999998</v>
      </c>
      <c r="K13" s="49">
        <v>249.98</v>
      </c>
      <c r="L13" s="49">
        <v>603.78</v>
      </c>
      <c r="M13" s="49">
        <v>541.72</v>
      </c>
      <c r="N13" s="49">
        <v>65.192000000000007</v>
      </c>
      <c r="O13" s="49">
        <v>17.341999999999999</v>
      </c>
      <c r="P13" s="49">
        <v>1.5717999999999999</v>
      </c>
      <c r="Q13" s="49">
        <v>0.69600000000000006</v>
      </c>
      <c r="R13" s="49">
        <v>0.13862000000000002</v>
      </c>
    </row>
    <row r="14" spans="1:18" s="49" customFormat="1">
      <c r="A14" s="49" t="s">
        <v>274</v>
      </c>
      <c r="B14" s="49" t="s">
        <v>160</v>
      </c>
      <c r="D14" s="50">
        <v>8401.3223400000006</v>
      </c>
      <c r="E14" s="50">
        <v>22135.7448</v>
      </c>
      <c r="F14" s="49">
        <v>21.489000000000001</v>
      </c>
      <c r="G14" s="50">
        <v>76535.860799999995</v>
      </c>
      <c r="H14" s="49">
        <v>10619.1</v>
      </c>
      <c r="I14" s="49">
        <v>1527.6000000000001</v>
      </c>
      <c r="J14" s="49">
        <v>1896.7482449999998</v>
      </c>
      <c r="K14" s="49">
        <v>263.90999999999997</v>
      </c>
      <c r="L14" s="49">
        <v>605.33999999999992</v>
      </c>
      <c r="M14" s="49">
        <v>684</v>
      </c>
      <c r="N14" s="49">
        <v>61.958999999999996</v>
      </c>
      <c r="O14" s="49">
        <v>17.669999999999998</v>
      </c>
      <c r="P14" s="49">
        <v>2.052</v>
      </c>
      <c r="Q14" s="49">
        <v>0.36480000000000001</v>
      </c>
      <c r="R14" s="49">
        <v>0.18240000000000001</v>
      </c>
    </row>
    <row r="15" spans="1:18" s="49" customFormat="1">
      <c r="A15" s="49" t="s">
        <v>274</v>
      </c>
      <c r="B15" s="49" t="s">
        <v>161</v>
      </c>
      <c r="D15" s="50">
        <v>8875.6477799999993</v>
      </c>
      <c r="E15" s="50">
        <v>23256.979200000002</v>
      </c>
      <c r="F15" s="49">
        <v>20.937999999999999</v>
      </c>
      <c r="G15" s="50">
        <v>72150.607999999993</v>
      </c>
      <c r="H15" s="49">
        <v>9906.4000000000015</v>
      </c>
      <c r="I15" s="49">
        <v>1450</v>
      </c>
      <c r="J15" s="49">
        <v>1807.0393000000001</v>
      </c>
      <c r="K15" s="49">
        <v>270.28000000000003</v>
      </c>
      <c r="L15" s="49">
        <v>555.06000000000006</v>
      </c>
      <c r="M15" s="49">
        <v>539.40000000000009</v>
      </c>
      <c r="N15" s="49">
        <v>62.524000000000001</v>
      </c>
      <c r="O15" s="49">
        <v>23.721999999999998</v>
      </c>
      <c r="P15" s="49">
        <v>1.4441999999999999</v>
      </c>
      <c r="Q15" s="49">
        <v>0.61480000000000001</v>
      </c>
      <c r="R15" s="49">
        <v>0.12179999999999999</v>
      </c>
    </row>
    <row r="16" spans="1:18" s="49" customFormat="1">
      <c r="A16" s="49" t="s">
        <v>274</v>
      </c>
      <c r="B16" s="49" t="s">
        <v>162</v>
      </c>
      <c r="D16" s="50">
        <v>9420.7462500000001</v>
      </c>
      <c r="E16" s="50">
        <v>25021.554480000003</v>
      </c>
      <c r="F16" s="49">
        <v>23.369999999999997</v>
      </c>
      <c r="G16" s="50">
        <v>72422.193599999999</v>
      </c>
      <c r="H16" s="49">
        <v>9701.4</v>
      </c>
      <c r="I16" s="49">
        <v>1425</v>
      </c>
      <c r="J16" s="49">
        <v>1818.6442799999998</v>
      </c>
      <c r="K16" s="49">
        <v>263.90999999999997</v>
      </c>
      <c r="L16" s="49">
        <v>553.47</v>
      </c>
      <c r="M16" s="49">
        <v>652.65</v>
      </c>
      <c r="N16" s="49">
        <v>61.274999999999999</v>
      </c>
      <c r="O16" s="49">
        <v>31.293000000000003</v>
      </c>
      <c r="P16" s="49">
        <v>1.4877</v>
      </c>
      <c r="Q16" s="49">
        <v>0.59279999999999999</v>
      </c>
      <c r="R16" s="49">
        <v>0.13623000000000002</v>
      </c>
    </row>
    <row r="17" spans="1:18" s="49" customFormat="1">
      <c r="A17" s="49" t="s">
        <v>274</v>
      </c>
      <c r="B17" s="49" t="s">
        <v>163</v>
      </c>
      <c r="D17" s="50">
        <v>8746.4191499999997</v>
      </c>
      <c r="E17" s="50">
        <v>23336.164800000002</v>
      </c>
      <c r="F17" s="49">
        <v>19.266000000000002</v>
      </c>
      <c r="G17" s="50">
        <v>72909.338399999993</v>
      </c>
      <c r="H17" s="49">
        <v>9929.4</v>
      </c>
      <c r="I17" s="49">
        <v>1413.6000000000001</v>
      </c>
      <c r="J17" s="49">
        <v>1883.2218599999999</v>
      </c>
      <c r="K17" s="49">
        <v>295.26</v>
      </c>
      <c r="L17" s="49">
        <v>569.43000000000006</v>
      </c>
      <c r="M17" s="49">
        <v>569.43000000000006</v>
      </c>
      <c r="N17" s="49">
        <v>64.41</v>
      </c>
      <c r="O17" s="49">
        <v>17.213999999999999</v>
      </c>
      <c r="P17" s="49">
        <v>1.4705999999999999</v>
      </c>
      <c r="Q17" s="49">
        <v>0.57569999999999999</v>
      </c>
      <c r="R17" s="49">
        <v>0.10829999999999999</v>
      </c>
    </row>
    <row r="18" spans="1:18" s="49" customFormat="1">
      <c r="A18" s="49" t="s">
        <v>274</v>
      </c>
      <c r="B18" s="49" t="s">
        <v>164</v>
      </c>
      <c r="D18" s="50">
        <v>9028.0498799999987</v>
      </c>
      <c r="E18" s="50">
        <v>23806.729440000003</v>
      </c>
      <c r="F18" s="49">
        <v>22.401</v>
      </c>
      <c r="G18" s="50">
        <v>71339.649600000004</v>
      </c>
      <c r="H18" s="49">
        <v>9450.6</v>
      </c>
      <c r="I18" s="49">
        <v>1368</v>
      </c>
      <c r="J18" s="49">
        <v>1875.804165</v>
      </c>
      <c r="K18" s="49">
        <v>283.28999999999996</v>
      </c>
      <c r="L18" s="49">
        <v>580.82999999999993</v>
      </c>
      <c r="M18" s="49">
        <v>564.87</v>
      </c>
      <c r="N18" s="49">
        <v>57.284999999999997</v>
      </c>
      <c r="O18" s="49">
        <v>12.198</v>
      </c>
      <c r="P18" s="49">
        <v>1.3851</v>
      </c>
      <c r="Q18" s="49">
        <v>0.63839999999999997</v>
      </c>
      <c r="R18" s="49">
        <v>0.10488</v>
      </c>
    </row>
    <row r="19" spans="1:18" s="49" customFormat="1">
      <c r="A19" s="49" t="s">
        <v>274</v>
      </c>
      <c r="B19" s="49" t="s">
        <v>165</v>
      </c>
      <c r="D19" s="50">
        <v>9508.0121099999997</v>
      </c>
      <c r="E19" s="50">
        <v>26097.130800000003</v>
      </c>
      <c r="F19" s="49">
        <v>23.768999999999998</v>
      </c>
      <c r="G19" s="50">
        <v>72855.211200000005</v>
      </c>
      <c r="H19" s="49">
        <v>9940.8000000000011</v>
      </c>
      <c r="I19" s="49">
        <v>1417.5900000000001</v>
      </c>
      <c r="J19" s="49">
        <v>1880.1675150000001</v>
      </c>
      <c r="K19" s="49">
        <v>263.34000000000003</v>
      </c>
      <c r="L19" s="49">
        <v>569.43000000000006</v>
      </c>
      <c r="M19" s="49">
        <v>652.65</v>
      </c>
      <c r="N19" s="49">
        <v>62.13</v>
      </c>
      <c r="O19" s="49">
        <v>17.898</v>
      </c>
      <c r="P19" s="49">
        <v>1.4592000000000001</v>
      </c>
      <c r="Q19" s="49">
        <v>0.45600000000000002</v>
      </c>
      <c r="R19" s="49">
        <v>0.11286</v>
      </c>
    </row>
    <row r="20" spans="1:18" s="49" customFormat="1">
      <c r="A20" s="49" t="s">
        <v>274</v>
      </c>
      <c r="B20" s="49" t="s">
        <v>166</v>
      </c>
      <c r="D20" s="50">
        <v>8774.1855599999999</v>
      </c>
      <c r="E20" s="50">
        <v>23441.801759999998</v>
      </c>
      <c r="F20" s="49">
        <v>20.52</v>
      </c>
      <c r="G20" s="50">
        <v>73234.101599999995</v>
      </c>
      <c r="H20" s="49">
        <v>10003.5</v>
      </c>
      <c r="I20" s="49">
        <v>1447.8</v>
      </c>
      <c r="J20" s="49">
        <v>1981.3972349999999</v>
      </c>
      <c r="K20" s="49">
        <v>287.28000000000003</v>
      </c>
      <c r="L20" s="49">
        <v>574.56000000000006</v>
      </c>
      <c r="M20" s="49">
        <v>585.39</v>
      </c>
      <c r="N20" s="49">
        <v>62.871000000000002</v>
      </c>
      <c r="O20" s="49">
        <v>13.053000000000001</v>
      </c>
      <c r="P20" s="49">
        <v>1.7955000000000001</v>
      </c>
      <c r="Q20" s="49">
        <v>0.68969999999999998</v>
      </c>
      <c r="R20" s="49">
        <v>0.2109</v>
      </c>
    </row>
    <row r="21" spans="1:18" s="49" customFormat="1">
      <c r="A21" s="49" t="s">
        <v>274</v>
      </c>
      <c r="B21" s="49" t="s">
        <v>167</v>
      </c>
      <c r="D21" s="50">
        <v>8855.4666799999995</v>
      </c>
      <c r="E21" s="50">
        <v>23721.141600000003</v>
      </c>
      <c r="F21" s="49">
        <v>23.779999999999998</v>
      </c>
      <c r="G21" s="50">
        <v>70883.8416</v>
      </c>
      <c r="H21" s="49">
        <v>9500.4000000000015</v>
      </c>
      <c r="I21" s="49">
        <v>1428.54</v>
      </c>
      <c r="J21" s="49">
        <v>1772.8520699999999</v>
      </c>
      <c r="K21" s="49">
        <v>266.21999999999997</v>
      </c>
      <c r="L21" s="49">
        <v>571.29999999999995</v>
      </c>
      <c r="M21" s="49">
        <v>613.64</v>
      </c>
      <c r="N21" s="49">
        <v>58.463999999999999</v>
      </c>
      <c r="O21" s="49">
        <v>23.895999999999997</v>
      </c>
      <c r="P21" s="49">
        <v>1.4441999999999999</v>
      </c>
      <c r="Q21" s="49">
        <v>0.62640000000000007</v>
      </c>
      <c r="R21" s="49">
        <v>0.13919999999999999</v>
      </c>
    </row>
    <row r="22" spans="1:18" s="49" customFormat="1">
      <c r="A22" s="49" t="s">
        <v>274</v>
      </c>
      <c r="B22" s="49" t="s">
        <v>168</v>
      </c>
      <c r="D22" s="50">
        <v>9436.6127699999997</v>
      </c>
      <c r="E22" s="50">
        <v>24104.4336</v>
      </c>
      <c r="F22" s="49">
        <v>22.572000000000003</v>
      </c>
      <c r="G22" s="50">
        <v>73829.500799999994</v>
      </c>
      <c r="H22" s="49">
        <v>10214.4</v>
      </c>
      <c r="I22" s="49">
        <v>1521.8999999999999</v>
      </c>
      <c r="J22" s="49">
        <v>1923.801015</v>
      </c>
      <c r="K22" s="49">
        <v>257.07</v>
      </c>
      <c r="L22" s="49">
        <v>579.68999999999994</v>
      </c>
      <c r="M22" s="49">
        <v>656.64</v>
      </c>
      <c r="N22" s="49">
        <v>57.854999999999997</v>
      </c>
      <c r="O22" s="49">
        <v>20.064</v>
      </c>
      <c r="P22" s="49">
        <v>1.4649000000000001</v>
      </c>
      <c r="Q22" s="49">
        <v>0.75239999999999996</v>
      </c>
      <c r="R22" s="49">
        <v>0.114</v>
      </c>
    </row>
    <row r="23" spans="1:18" s="49" customFormat="1">
      <c r="A23" s="49" t="s">
        <v>274</v>
      </c>
      <c r="B23" s="49" t="s">
        <v>169</v>
      </c>
      <c r="D23" s="50">
        <v>8213.707699999999</v>
      </c>
      <c r="E23" s="50">
        <v>21346.584479999998</v>
      </c>
      <c r="F23" s="49">
        <v>24.707999999999998</v>
      </c>
      <c r="G23" s="50">
        <v>69672.152000000002</v>
      </c>
      <c r="H23" s="49">
        <v>9419.2000000000007</v>
      </c>
      <c r="I23" s="49">
        <v>1394.9</v>
      </c>
      <c r="J23" s="49">
        <v>1803.04339</v>
      </c>
      <c r="K23" s="49">
        <v>263.89999999999998</v>
      </c>
      <c r="L23" s="49">
        <v>593.91999999999996</v>
      </c>
      <c r="M23" s="49">
        <v>511.56</v>
      </c>
      <c r="N23" s="49">
        <v>57.652000000000001</v>
      </c>
      <c r="O23" s="49">
        <v>26.854000000000003</v>
      </c>
      <c r="P23" s="49">
        <v>1.6820000000000002</v>
      </c>
      <c r="Q23" s="49">
        <v>0.78879999999999995</v>
      </c>
      <c r="R23" s="49">
        <v>0.16239999999999999</v>
      </c>
    </row>
    <row r="24" spans="1:18" s="49" customFormat="1">
      <c r="A24" s="49" t="s">
        <v>274</v>
      </c>
      <c r="B24" s="49" t="s">
        <v>170</v>
      </c>
      <c r="D24" s="50">
        <v>8611.5537299999996</v>
      </c>
      <c r="E24" s="50">
        <v>23480.215200000002</v>
      </c>
      <c r="F24" s="49">
        <v>23.712</v>
      </c>
      <c r="G24" s="50">
        <v>73829.500799999994</v>
      </c>
      <c r="H24" s="49">
        <v>9918</v>
      </c>
      <c r="I24" s="49">
        <v>1474.5900000000001</v>
      </c>
      <c r="J24" s="49">
        <v>1808.608575</v>
      </c>
      <c r="K24" s="49">
        <v>274.16999999999996</v>
      </c>
      <c r="L24" s="49">
        <v>589.94999999999993</v>
      </c>
      <c r="M24" s="49">
        <v>603.63</v>
      </c>
      <c r="N24" s="49">
        <v>60.363</v>
      </c>
      <c r="O24" s="49">
        <v>19.664999999999999</v>
      </c>
      <c r="P24" s="49">
        <v>1.8525</v>
      </c>
      <c r="Q24" s="49">
        <v>0.4446</v>
      </c>
      <c r="R24" s="49">
        <v>0.11969999999999999</v>
      </c>
    </row>
    <row r="25" spans="1:18" s="49" customFormat="1">
      <c r="A25" s="49" t="s">
        <v>274</v>
      </c>
      <c r="B25" s="49" t="s">
        <v>171</v>
      </c>
      <c r="D25" s="50">
        <v>11262.445599999999</v>
      </c>
      <c r="E25" s="50">
        <v>24106.118399999999</v>
      </c>
      <c r="F25" s="49">
        <v>14.056000000000001</v>
      </c>
      <c r="G25" s="50">
        <v>79021.9136</v>
      </c>
      <c r="H25" s="49">
        <v>11950.4</v>
      </c>
      <c r="I25" s="49">
        <v>1640.8</v>
      </c>
      <c r="J25" s="49">
        <v>1920.4863999999998</v>
      </c>
      <c r="K25" s="49">
        <v>196.56</v>
      </c>
      <c r="L25" s="49">
        <v>475.44</v>
      </c>
      <c r="M25" s="49">
        <v>640.07999999999993</v>
      </c>
      <c r="N25" s="49">
        <v>71.12</v>
      </c>
      <c r="O25" s="49">
        <v>16.576000000000001</v>
      </c>
      <c r="P25" s="49">
        <v>2.2960000000000003</v>
      </c>
      <c r="Q25" s="49">
        <v>0.42</v>
      </c>
      <c r="R25" s="49">
        <v>6.7199999999999996E-2</v>
      </c>
    </row>
    <row r="26" spans="1:18" s="49" customFormat="1">
      <c r="A26" s="49" t="s">
        <v>274</v>
      </c>
      <c r="B26" s="49" t="s">
        <v>172</v>
      </c>
      <c r="D26" s="50">
        <v>10829.874159999998</v>
      </c>
      <c r="E26" s="50">
        <v>25096.7808</v>
      </c>
      <c r="F26" s="49">
        <v>19.152000000000001</v>
      </c>
      <c r="G26" s="50">
        <v>78064.716799999995</v>
      </c>
      <c r="H26" s="49">
        <v>11071.199999999999</v>
      </c>
      <c r="I26" s="49">
        <v>1584.8</v>
      </c>
      <c r="J26" s="49">
        <v>1967.6412</v>
      </c>
      <c r="K26" s="49">
        <v>209.44</v>
      </c>
      <c r="L26" s="49">
        <v>434</v>
      </c>
      <c r="M26" s="49">
        <v>621.04</v>
      </c>
      <c r="N26" s="49">
        <v>66.92</v>
      </c>
      <c r="O26" s="49">
        <v>16.183999999999997</v>
      </c>
      <c r="P26" s="49">
        <v>1.8480000000000001</v>
      </c>
      <c r="Q26" s="49">
        <v>0.49840000000000001</v>
      </c>
      <c r="R26" s="49">
        <v>0.10639999999999999</v>
      </c>
    </row>
    <row r="27" spans="1:18" s="49" customFormat="1">
      <c r="A27" s="49" t="s">
        <v>274</v>
      </c>
      <c r="B27" s="49" t="s">
        <v>173</v>
      </c>
      <c r="D27" s="50">
        <v>8705.9873599999992</v>
      </c>
      <c r="E27" s="50">
        <v>22785.235200000003</v>
      </c>
      <c r="F27" s="49">
        <v>18.704000000000001</v>
      </c>
      <c r="G27" s="50">
        <v>79128.268800000005</v>
      </c>
      <c r="H27" s="49">
        <v>11799.199999999999</v>
      </c>
      <c r="I27" s="49">
        <v>1825.6000000000001</v>
      </c>
      <c r="J27" s="49">
        <v>2186.268</v>
      </c>
      <c r="K27" s="49">
        <v>189.84</v>
      </c>
      <c r="L27" s="49">
        <v>465.36</v>
      </c>
      <c r="M27" s="49">
        <v>717.36</v>
      </c>
      <c r="N27" s="49">
        <v>66.975999999999999</v>
      </c>
      <c r="O27" s="49">
        <v>11.703999999999999</v>
      </c>
      <c r="P27" s="49">
        <v>2.016</v>
      </c>
      <c r="Q27" s="49">
        <v>0.54879999999999995</v>
      </c>
      <c r="R27" s="49">
        <v>4.9839999999999995E-2</v>
      </c>
    </row>
    <row r="28" spans="1:18" s="49" customFormat="1">
      <c r="A28" s="49" t="s">
        <v>274</v>
      </c>
      <c r="B28" s="49" t="s">
        <v>174</v>
      </c>
      <c r="D28" s="50">
        <v>10341.00441</v>
      </c>
      <c r="E28" s="50">
        <v>25256.836800000001</v>
      </c>
      <c r="F28" s="49">
        <v>19.607999999999997</v>
      </c>
      <c r="G28" s="50">
        <v>74587.281600000002</v>
      </c>
      <c r="H28" s="49">
        <v>10653.300000000001</v>
      </c>
      <c r="I28" s="49">
        <v>1624.5</v>
      </c>
      <c r="J28" s="49">
        <v>2050.7745</v>
      </c>
      <c r="K28" s="49">
        <v>239.97</v>
      </c>
      <c r="L28" s="49">
        <v>509.58</v>
      </c>
      <c r="M28" s="49">
        <v>656.64</v>
      </c>
      <c r="N28" s="49">
        <v>63.84</v>
      </c>
      <c r="O28" s="49">
        <v>11.115</v>
      </c>
      <c r="P28" s="49">
        <v>1.5447</v>
      </c>
      <c r="Q28" s="49">
        <v>0.20519999999999999</v>
      </c>
      <c r="R28" s="49">
        <v>9.69E-2</v>
      </c>
    </row>
    <row r="29" spans="1:18" s="49" customFormat="1">
      <c r="A29" s="49" t="s">
        <v>274</v>
      </c>
      <c r="B29" s="49" t="s">
        <v>175</v>
      </c>
      <c r="D29" s="50">
        <v>7520.7304799999993</v>
      </c>
      <c r="E29" s="50">
        <v>21468.311280000002</v>
      </c>
      <c r="F29" s="49">
        <v>21.033000000000001</v>
      </c>
      <c r="G29" s="50">
        <v>77618.404800000004</v>
      </c>
      <c r="H29" s="49">
        <v>10710.300000000001</v>
      </c>
      <c r="I29" s="49">
        <v>1504.8</v>
      </c>
      <c r="J29" s="49">
        <v>1982.7062399999998</v>
      </c>
      <c r="K29" s="49">
        <v>198.93</v>
      </c>
      <c r="L29" s="49">
        <v>497.61</v>
      </c>
      <c r="M29" s="49">
        <v>621.30000000000007</v>
      </c>
      <c r="N29" s="49">
        <v>62.7</v>
      </c>
      <c r="O29" s="49">
        <v>14.079000000000001</v>
      </c>
      <c r="P29" s="49">
        <v>2.4509999999999996</v>
      </c>
      <c r="Q29" s="49">
        <v>0.48450000000000004</v>
      </c>
      <c r="R29" s="49">
        <v>9.69E-2</v>
      </c>
    </row>
    <row r="30" spans="1:18" s="49" customFormat="1">
      <c r="A30" s="49" t="s">
        <v>274</v>
      </c>
      <c r="B30" s="49" t="s">
        <v>176</v>
      </c>
      <c r="D30" s="50">
        <v>10368.77082</v>
      </c>
      <c r="E30" s="50">
        <v>24128.442000000003</v>
      </c>
      <c r="F30" s="49">
        <v>21.318000000000001</v>
      </c>
      <c r="G30" s="50">
        <v>74046.009600000005</v>
      </c>
      <c r="H30" s="49">
        <v>10385.4</v>
      </c>
      <c r="I30" s="49">
        <v>1521.8999999999999</v>
      </c>
      <c r="J30" s="49">
        <v>1726.577595</v>
      </c>
      <c r="K30" s="49">
        <v>225.15</v>
      </c>
      <c r="L30" s="49">
        <v>490.77</v>
      </c>
      <c r="M30" s="49">
        <v>597.93000000000006</v>
      </c>
      <c r="N30" s="49">
        <v>66.11999999999999</v>
      </c>
      <c r="O30" s="49">
        <v>17.955000000000002</v>
      </c>
      <c r="P30" s="49">
        <v>1.1970000000000001</v>
      </c>
      <c r="Q30" s="49">
        <v>0.39900000000000002</v>
      </c>
      <c r="R30" s="49">
        <v>9.1200000000000003E-2</v>
      </c>
    </row>
    <row r="31" spans="1:18" s="49" customFormat="1">
      <c r="A31" s="49" t="s">
        <v>274</v>
      </c>
      <c r="B31" s="49" t="s">
        <v>177</v>
      </c>
      <c r="D31" s="50">
        <v>9777.7429499999998</v>
      </c>
      <c r="E31" s="50">
        <v>25592.954400000002</v>
      </c>
      <c r="F31" s="49">
        <v>22.116</v>
      </c>
      <c r="G31" s="50">
        <v>75020.299199999994</v>
      </c>
      <c r="H31" s="49">
        <v>10305.6</v>
      </c>
      <c r="I31" s="49">
        <v>1567.5</v>
      </c>
      <c r="J31" s="49">
        <v>1936.0183949999996</v>
      </c>
      <c r="K31" s="49">
        <v>258.21000000000004</v>
      </c>
      <c r="L31" s="49">
        <v>535.80000000000007</v>
      </c>
      <c r="M31" s="49">
        <v>692.55000000000007</v>
      </c>
      <c r="N31" s="49">
        <v>64.637999999999991</v>
      </c>
      <c r="O31" s="49">
        <v>25.308</v>
      </c>
      <c r="P31" s="49">
        <v>2.3370000000000002</v>
      </c>
      <c r="Q31" s="49">
        <v>0.54719999999999991</v>
      </c>
      <c r="R31" s="49">
        <v>0.1026</v>
      </c>
    </row>
    <row r="32" spans="1:18" s="49" customFormat="1">
      <c r="A32" s="49" t="s">
        <v>274</v>
      </c>
      <c r="B32" s="49" t="s">
        <v>178</v>
      </c>
      <c r="D32" s="50">
        <v>9349.3469099999984</v>
      </c>
      <c r="E32" s="50">
        <v>22635.11952</v>
      </c>
      <c r="F32" s="49">
        <v>18.012</v>
      </c>
      <c r="G32" s="50">
        <v>74857.917600000001</v>
      </c>
      <c r="H32" s="49">
        <v>10710.300000000001</v>
      </c>
      <c r="I32" s="49">
        <v>1567.5</v>
      </c>
      <c r="J32" s="49">
        <v>1966.1255099999998</v>
      </c>
      <c r="K32" s="49">
        <v>285</v>
      </c>
      <c r="L32" s="49">
        <v>542.06999999999994</v>
      </c>
      <c r="M32" s="49">
        <v>603.06000000000006</v>
      </c>
      <c r="N32" s="49">
        <v>63.098999999999997</v>
      </c>
      <c r="O32" s="49">
        <v>9.2910000000000004</v>
      </c>
      <c r="P32" s="49">
        <v>1.7556</v>
      </c>
      <c r="Q32" s="49">
        <v>0.35909999999999997</v>
      </c>
      <c r="R32" s="49">
        <v>8.949E-2</v>
      </c>
    </row>
    <row r="33" spans="1:18" s="49" customFormat="1">
      <c r="A33" s="49" t="s">
        <v>274</v>
      </c>
      <c r="B33" s="49" t="s">
        <v>179</v>
      </c>
      <c r="D33" s="50">
        <v>9813.4426199999998</v>
      </c>
      <c r="E33" s="50">
        <v>24872.702400000002</v>
      </c>
      <c r="F33" s="49">
        <v>18.411000000000001</v>
      </c>
      <c r="G33" s="50">
        <v>75723.952799999999</v>
      </c>
      <c r="H33" s="49">
        <v>11502.6</v>
      </c>
      <c r="I33" s="49">
        <v>1698.6000000000001</v>
      </c>
      <c r="J33" s="49">
        <v>2277.6687000000002</v>
      </c>
      <c r="K33" s="49">
        <v>247.95</v>
      </c>
      <c r="L33" s="49">
        <v>558.03</v>
      </c>
      <c r="M33" s="49">
        <v>712.5</v>
      </c>
      <c r="N33" s="49">
        <v>71.820000000000007</v>
      </c>
      <c r="O33" s="49">
        <v>12.540000000000001</v>
      </c>
      <c r="P33" s="49">
        <v>4.218</v>
      </c>
      <c r="Q33" s="49">
        <v>0.20519999999999999</v>
      </c>
      <c r="R33" s="49">
        <v>0.68400000000000005</v>
      </c>
    </row>
    <row r="34" spans="1:18" s="49" customFormat="1">
      <c r="A34" s="49" t="s">
        <v>274</v>
      </c>
      <c r="B34" s="49" t="s">
        <v>180</v>
      </c>
      <c r="D34" s="50">
        <v>8429.088749999999</v>
      </c>
      <c r="E34" s="50">
        <v>24445.352880000002</v>
      </c>
      <c r="F34" s="49">
        <v>19.380000000000003</v>
      </c>
      <c r="G34" s="50">
        <v>72043.303199999995</v>
      </c>
      <c r="H34" s="49">
        <v>10311.300000000001</v>
      </c>
      <c r="I34" s="49">
        <v>1539</v>
      </c>
      <c r="J34" s="49">
        <v>2036.3754449999999</v>
      </c>
      <c r="K34" s="49">
        <v>254.79</v>
      </c>
      <c r="L34" s="49">
        <v>536.93999999999994</v>
      </c>
      <c r="M34" s="49">
        <v>629.85</v>
      </c>
      <c r="N34" s="49">
        <v>63.84</v>
      </c>
      <c r="O34" s="49">
        <v>15.504000000000001</v>
      </c>
      <c r="P34" s="49">
        <v>1.8866999999999998</v>
      </c>
      <c r="Q34" s="49">
        <v>0.47879999999999995</v>
      </c>
      <c r="R34" s="49">
        <v>0.15959999999999999</v>
      </c>
    </row>
    <row r="35" spans="1:18" s="49" customFormat="1">
      <c r="A35" s="49" t="s">
        <v>274</v>
      </c>
      <c r="B35" s="49" t="s">
        <v>181</v>
      </c>
      <c r="D35" s="50">
        <v>9773.7763200000009</v>
      </c>
      <c r="E35" s="50">
        <v>25064.7696</v>
      </c>
      <c r="F35" s="49">
        <v>19.664999999999999</v>
      </c>
      <c r="G35" s="50">
        <v>72043.303199999995</v>
      </c>
      <c r="H35" s="49">
        <v>10522.199999999999</v>
      </c>
      <c r="I35" s="49">
        <v>1556.1000000000001</v>
      </c>
      <c r="J35" s="49">
        <v>2242.7618999999995</v>
      </c>
      <c r="K35" s="49">
        <v>261.63</v>
      </c>
      <c r="L35" s="49">
        <v>532.38</v>
      </c>
      <c r="M35" s="49">
        <v>758.1</v>
      </c>
      <c r="N35" s="49">
        <v>70.566000000000003</v>
      </c>
      <c r="O35" s="49">
        <v>20.120999999999999</v>
      </c>
      <c r="P35" s="49">
        <v>1.6815</v>
      </c>
      <c r="Q35" s="49">
        <v>0.46740000000000004</v>
      </c>
      <c r="R35" s="49">
        <v>0.1026</v>
      </c>
    </row>
    <row r="36" spans="1:18" s="49" customFormat="1">
      <c r="A36" s="49" t="s">
        <v>274</v>
      </c>
      <c r="B36" s="49" t="s">
        <v>182</v>
      </c>
      <c r="D36" s="50">
        <v>11184.504799999999</v>
      </c>
      <c r="E36" s="50">
        <v>29814.220800000003</v>
      </c>
      <c r="F36" s="49">
        <v>21.84</v>
      </c>
      <c r="G36" s="50">
        <v>76043.967999999993</v>
      </c>
      <c r="H36" s="49">
        <v>10796.800000000001</v>
      </c>
      <c r="I36" s="49">
        <v>1640.8</v>
      </c>
      <c r="J36" s="49">
        <v>1882.3338799999999</v>
      </c>
      <c r="K36" s="49">
        <v>243.04</v>
      </c>
      <c r="L36" s="49">
        <v>530.32000000000005</v>
      </c>
      <c r="M36" s="49">
        <v>794.64</v>
      </c>
      <c r="N36" s="49">
        <v>62.608000000000004</v>
      </c>
      <c r="O36" s="49">
        <v>18.816000000000003</v>
      </c>
      <c r="P36" s="49">
        <v>1.7584</v>
      </c>
      <c r="Q36" s="49">
        <v>0.42</v>
      </c>
      <c r="R36" s="49">
        <v>0.14560000000000001</v>
      </c>
    </row>
    <row r="37" spans="1:18" s="49" customFormat="1">
      <c r="A37" s="49" t="s">
        <v>274</v>
      </c>
      <c r="B37" s="49" t="s">
        <v>183</v>
      </c>
      <c r="D37" s="50">
        <v>8823.1769199999999</v>
      </c>
      <c r="E37" s="50">
        <v>22230.936000000002</v>
      </c>
      <c r="F37" s="49">
        <v>20.532</v>
      </c>
      <c r="G37" s="50">
        <v>71820.147200000007</v>
      </c>
      <c r="H37" s="49">
        <v>10184.799999999999</v>
      </c>
      <c r="I37" s="49">
        <v>1641.4</v>
      </c>
      <c r="J37" s="49">
        <v>1864.7579999999998</v>
      </c>
      <c r="K37" s="49">
        <v>269.70000000000005</v>
      </c>
      <c r="L37" s="49">
        <v>564.34</v>
      </c>
      <c r="M37" s="49">
        <v>560.28</v>
      </c>
      <c r="N37" s="49">
        <v>56.375999999999998</v>
      </c>
      <c r="O37" s="49">
        <v>14.731999999999999</v>
      </c>
      <c r="P37" s="49">
        <v>1.6182000000000001</v>
      </c>
      <c r="Q37" s="49">
        <v>0.55099999999999993</v>
      </c>
      <c r="R37" s="49">
        <v>0.15079999999999999</v>
      </c>
    </row>
    <row r="38" spans="1:18" s="49" customFormat="1">
      <c r="A38" s="49" t="s">
        <v>274</v>
      </c>
      <c r="B38" s="49" t="s">
        <v>184</v>
      </c>
      <c r="D38" s="50">
        <v>11999.05575</v>
      </c>
      <c r="E38" s="50">
        <v>38918.880000000005</v>
      </c>
      <c r="F38" s="49">
        <v>23.32</v>
      </c>
      <c r="G38" s="50">
        <v>75103.864000000001</v>
      </c>
      <c r="H38" s="49">
        <v>10400.5</v>
      </c>
      <c r="I38" s="49">
        <v>1600.5</v>
      </c>
      <c r="J38" s="49">
        <v>1890.4022499999999</v>
      </c>
      <c r="K38" s="49">
        <v>261.8</v>
      </c>
      <c r="L38" s="49">
        <v>534.6</v>
      </c>
      <c r="M38" s="49">
        <v>1138.5</v>
      </c>
      <c r="N38" s="49">
        <v>73.754999999999995</v>
      </c>
      <c r="O38" s="49">
        <v>22.934999999999999</v>
      </c>
      <c r="P38" s="49">
        <v>2.145</v>
      </c>
      <c r="Q38" s="49">
        <v>0.8085</v>
      </c>
      <c r="R38" s="49">
        <v>0.23649999999999999</v>
      </c>
    </row>
    <row r="39" spans="1:18" s="49" customFormat="1">
      <c r="A39" s="49" t="s">
        <v>274</v>
      </c>
      <c r="B39" s="49" t="s">
        <v>185</v>
      </c>
      <c r="D39" s="50">
        <v>9416.5012600000009</v>
      </c>
      <c r="E39" s="50">
        <v>22636.467360000002</v>
      </c>
      <c r="F39" s="49">
        <v>19.43</v>
      </c>
      <c r="G39" s="50">
        <v>72921.683199999999</v>
      </c>
      <c r="H39" s="49">
        <v>9726.5999999999985</v>
      </c>
      <c r="I39" s="49">
        <v>1450</v>
      </c>
      <c r="J39" s="49">
        <v>1779.0679299999999</v>
      </c>
      <c r="K39" s="49">
        <v>288.26</v>
      </c>
      <c r="L39" s="49">
        <v>558.54000000000008</v>
      </c>
      <c r="M39" s="49">
        <v>557.95999999999992</v>
      </c>
      <c r="N39" s="49">
        <v>58.116</v>
      </c>
      <c r="O39" s="49">
        <v>15.66</v>
      </c>
      <c r="P39" s="49">
        <v>1.4500000000000002</v>
      </c>
      <c r="Q39" s="49">
        <v>0.58579999999999999</v>
      </c>
      <c r="R39" s="49">
        <v>0.21460000000000001</v>
      </c>
    </row>
    <row r="40" spans="1:18" s="49" customFormat="1">
      <c r="A40" s="49" t="s">
        <v>274</v>
      </c>
      <c r="B40" s="49" t="s">
        <v>186</v>
      </c>
      <c r="D40" s="50">
        <v>9372.1028399999977</v>
      </c>
      <c r="E40" s="50">
        <v>22323.768479999999</v>
      </c>
      <c r="F40" s="49">
        <v>20.067999999999998</v>
      </c>
      <c r="G40" s="50">
        <v>74794.294399999999</v>
      </c>
      <c r="H40" s="49">
        <v>10016.599999999999</v>
      </c>
      <c r="I40" s="49">
        <v>1457.54</v>
      </c>
      <c r="J40" s="49">
        <v>1743.9927200000002</v>
      </c>
      <c r="K40" s="49">
        <v>274.92</v>
      </c>
      <c r="L40" s="49">
        <v>593.91999999999996</v>
      </c>
      <c r="M40" s="49">
        <v>501.12</v>
      </c>
      <c r="N40" s="49">
        <v>63.104000000000006</v>
      </c>
      <c r="O40" s="49">
        <v>10.962</v>
      </c>
      <c r="P40" s="49">
        <v>1.6588000000000001</v>
      </c>
      <c r="Q40" s="49">
        <v>0.41759999999999997</v>
      </c>
      <c r="R40" s="49">
        <v>0.11020000000000001</v>
      </c>
    </row>
    <row r="41" spans="1:18" s="49" customFormat="1">
      <c r="A41" s="49" t="s">
        <v>274</v>
      </c>
      <c r="B41" s="49" t="s">
        <v>187</v>
      </c>
      <c r="D41" s="50">
        <v>8137.0195199999989</v>
      </c>
      <c r="E41" s="50">
        <v>21815.632799999999</v>
      </c>
      <c r="F41" s="49">
        <v>21.808</v>
      </c>
      <c r="G41" s="50">
        <v>75069.678400000004</v>
      </c>
      <c r="H41" s="49">
        <v>10068.799999999999</v>
      </c>
      <c r="I41" s="49">
        <v>1466.24</v>
      </c>
      <c r="J41" s="49">
        <v>1882.5175999999997</v>
      </c>
      <c r="K41" s="49">
        <v>309.14</v>
      </c>
      <c r="L41" s="49">
        <v>603.78</v>
      </c>
      <c r="M41" s="49">
        <v>527.79999999999995</v>
      </c>
      <c r="N41" s="49">
        <v>59.508000000000003</v>
      </c>
      <c r="O41" s="49">
        <v>8.0040000000000013</v>
      </c>
      <c r="P41" s="49">
        <v>1.4500000000000002</v>
      </c>
      <c r="Q41" s="49">
        <v>0.58579999999999999</v>
      </c>
      <c r="R41" s="49">
        <v>0.23780000000000001</v>
      </c>
    </row>
    <row r="42" spans="1:18" s="49" customFormat="1">
      <c r="A42" s="49" t="s">
        <v>274</v>
      </c>
      <c r="B42" s="49" t="s">
        <v>188</v>
      </c>
      <c r="D42" s="50">
        <v>8669.8005599999997</v>
      </c>
      <c r="E42" s="50">
        <v>22944.280320000002</v>
      </c>
      <c r="F42" s="49">
        <v>23.721999999999998</v>
      </c>
      <c r="G42" s="50">
        <v>72536.145600000003</v>
      </c>
      <c r="H42" s="49">
        <v>10092</v>
      </c>
      <c r="I42" s="49">
        <v>1490.6</v>
      </c>
      <c r="J42" s="49">
        <v>1783.95182</v>
      </c>
      <c r="K42" s="49">
        <v>262.74</v>
      </c>
      <c r="L42" s="49">
        <v>590.43999999999994</v>
      </c>
      <c r="M42" s="49">
        <v>577.09999999999991</v>
      </c>
      <c r="N42" s="49">
        <v>60.204000000000001</v>
      </c>
      <c r="O42" s="49">
        <v>22.272000000000002</v>
      </c>
      <c r="P42" s="49">
        <v>1.2238</v>
      </c>
      <c r="Q42" s="49">
        <v>0.56259999999999999</v>
      </c>
      <c r="R42" s="49">
        <v>0.13919999999999999</v>
      </c>
    </row>
    <row r="43" spans="1:18" s="49" customFormat="1">
      <c r="A43" s="49" t="s">
        <v>274</v>
      </c>
      <c r="B43" s="49" t="s">
        <v>189</v>
      </c>
      <c r="D43" s="50">
        <v>8794.9233800000002</v>
      </c>
      <c r="E43" s="50">
        <v>22397.057279999997</v>
      </c>
      <c r="F43" s="49">
        <v>21.923999999999999</v>
      </c>
      <c r="G43" s="50">
        <v>69066.307199999996</v>
      </c>
      <c r="H43" s="49">
        <v>10097.799999999999</v>
      </c>
      <c r="I43" s="49">
        <v>1500.46</v>
      </c>
      <c r="J43" s="49">
        <v>1810.14723</v>
      </c>
      <c r="K43" s="49">
        <v>260.42</v>
      </c>
      <c r="L43" s="49">
        <v>563.76</v>
      </c>
      <c r="M43" s="49">
        <v>624.08000000000004</v>
      </c>
      <c r="N43" s="49">
        <v>64.438000000000002</v>
      </c>
      <c r="O43" s="49">
        <v>17.399999999999999</v>
      </c>
      <c r="P43" s="49">
        <v>2.0879999999999996</v>
      </c>
      <c r="Q43" s="49">
        <v>0.4466</v>
      </c>
      <c r="R43" s="49">
        <v>9.7439999999999999E-2</v>
      </c>
    </row>
    <row r="44" spans="1:18" s="49" customFormat="1">
      <c r="A44" s="49" t="s">
        <v>274</v>
      </c>
      <c r="B44" s="49" t="s">
        <v>190</v>
      </c>
      <c r="D44" s="50">
        <v>9718.2434999999987</v>
      </c>
      <c r="E44" s="50">
        <v>29194.214400000001</v>
      </c>
      <c r="F44" s="49">
        <v>21.146999999999998</v>
      </c>
      <c r="G44" s="50">
        <v>68741.543999999994</v>
      </c>
      <c r="H44" s="49">
        <v>9393.6</v>
      </c>
      <c r="I44" s="49">
        <v>1409.04</v>
      </c>
      <c r="J44" s="49">
        <v>1812.9719249999998</v>
      </c>
      <c r="K44" s="49">
        <v>267.90000000000003</v>
      </c>
      <c r="L44" s="49">
        <v>560.31000000000006</v>
      </c>
      <c r="M44" s="49">
        <v>852.15</v>
      </c>
      <c r="N44" s="49">
        <v>59.508000000000003</v>
      </c>
      <c r="O44" s="49">
        <v>22.857000000000003</v>
      </c>
      <c r="P44" s="49">
        <v>1.6872</v>
      </c>
      <c r="Q44" s="49">
        <v>0.68400000000000005</v>
      </c>
      <c r="R44" s="49">
        <v>0.12540000000000001</v>
      </c>
    </row>
    <row r="45" spans="1:18" s="49" customFormat="1">
      <c r="A45" s="49" t="s">
        <v>274</v>
      </c>
      <c r="B45" s="49" t="s">
        <v>191</v>
      </c>
      <c r="D45" s="50">
        <v>8758.5973999999987</v>
      </c>
      <c r="E45" s="50">
        <v>20643.012000000002</v>
      </c>
      <c r="F45" s="49">
        <v>20.648</v>
      </c>
      <c r="G45" s="50">
        <v>70773.687999999995</v>
      </c>
      <c r="H45" s="49">
        <v>10196.400000000001</v>
      </c>
      <c r="I45" s="49">
        <v>1513.8000000000002</v>
      </c>
      <c r="J45" s="49">
        <v>1695.59781</v>
      </c>
      <c r="K45" s="49">
        <v>267.38</v>
      </c>
      <c r="L45" s="49">
        <v>607.26</v>
      </c>
      <c r="M45" s="49">
        <v>545.20000000000005</v>
      </c>
      <c r="N45" s="49">
        <v>63.684000000000005</v>
      </c>
      <c r="O45" s="49">
        <v>18.385999999999999</v>
      </c>
      <c r="P45" s="49">
        <v>1.7052</v>
      </c>
      <c r="Q45" s="49">
        <v>0.79459999999999997</v>
      </c>
      <c r="R45" s="49">
        <v>0.22040000000000001</v>
      </c>
    </row>
    <row r="46" spans="1:18" s="49" customFormat="1">
      <c r="A46" s="49" t="s">
        <v>274</v>
      </c>
      <c r="B46" s="49" t="s">
        <v>192</v>
      </c>
      <c r="D46" s="50">
        <v>7434.717239999999</v>
      </c>
      <c r="E46" s="50">
        <v>17931.326400000002</v>
      </c>
      <c r="F46" s="49">
        <v>24.128</v>
      </c>
      <c r="G46" s="50">
        <v>82890.584000000003</v>
      </c>
      <c r="H46" s="49">
        <v>11136</v>
      </c>
      <c r="I46" s="49">
        <v>1682</v>
      </c>
      <c r="J46" s="49">
        <v>1834.5666799999999</v>
      </c>
      <c r="K46" s="49">
        <v>245.92000000000002</v>
      </c>
      <c r="L46" s="49">
        <v>578.26</v>
      </c>
      <c r="M46" s="49">
        <v>472.12</v>
      </c>
      <c r="N46" s="49">
        <v>61.537999999999997</v>
      </c>
      <c r="O46" s="49">
        <v>17.864000000000001</v>
      </c>
      <c r="P46" s="49">
        <v>1.9546000000000001</v>
      </c>
      <c r="Q46" s="49">
        <v>0.40600000000000003</v>
      </c>
      <c r="R46" s="49">
        <v>8.1780000000000005E-2</v>
      </c>
    </row>
    <row r="47" spans="1:18" s="49" customFormat="1">
      <c r="A47" s="49" t="s">
        <v>274</v>
      </c>
      <c r="B47" s="49" t="s">
        <v>193</v>
      </c>
      <c r="D47" s="50">
        <v>9448.5126599999985</v>
      </c>
      <c r="E47" s="50">
        <v>24728.652000000002</v>
      </c>
      <c r="F47" s="49">
        <v>23.028000000000002</v>
      </c>
      <c r="G47" s="50">
        <v>74046.009600000005</v>
      </c>
      <c r="H47" s="49">
        <v>9963.6</v>
      </c>
      <c r="I47" s="49">
        <v>1447.8</v>
      </c>
      <c r="J47" s="49">
        <v>1812.9719249999998</v>
      </c>
      <c r="K47" s="49">
        <v>266.76</v>
      </c>
      <c r="L47" s="49">
        <v>540.36</v>
      </c>
      <c r="M47" s="49">
        <v>580.82999999999993</v>
      </c>
      <c r="N47" s="49">
        <v>61.958999999999996</v>
      </c>
      <c r="O47" s="49">
        <v>19.152000000000001</v>
      </c>
      <c r="P47" s="49">
        <v>1.5105</v>
      </c>
      <c r="Q47" s="49">
        <v>0.59279999999999999</v>
      </c>
      <c r="R47" s="49">
        <v>0.1482</v>
      </c>
    </row>
    <row r="48" spans="1:18" s="49" customFormat="1">
      <c r="A48" s="49" t="s">
        <v>274</v>
      </c>
      <c r="B48" s="49" t="s">
        <v>194</v>
      </c>
      <c r="D48" s="50">
        <v>10031.60727</v>
      </c>
      <c r="E48" s="50">
        <v>25285.64688</v>
      </c>
      <c r="F48" s="49">
        <v>21.945</v>
      </c>
      <c r="G48" s="50">
        <v>71339.649600000004</v>
      </c>
      <c r="H48" s="49">
        <v>9963.6</v>
      </c>
      <c r="I48" s="49">
        <v>1396.5</v>
      </c>
      <c r="J48" s="49">
        <v>1846.1333849999999</v>
      </c>
      <c r="K48" s="49">
        <v>243.96</v>
      </c>
      <c r="L48" s="49">
        <v>531.24</v>
      </c>
      <c r="M48" s="49">
        <v>657.20999999999992</v>
      </c>
      <c r="N48" s="49">
        <v>59.222999999999999</v>
      </c>
      <c r="O48" s="49">
        <v>17.669999999999998</v>
      </c>
      <c r="P48" s="49">
        <v>1.5219</v>
      </c>
      <c r="Q48" s="49">
        <v>0.60419999999999996</v>
      </c>
      <c r="R48" s="49">
        <v>9.8610000000000003E-2</v>
      </c>
    </row>
    <row r="49" spans="1:18" s="49" customFormat="1">
      <c r="A49" s="49" t="s">
        <v>274</v>
      </c>
      <c r="B49" s="49" t="s">
        <v>195</v>
      </c>
      <c r="D49" s="50">
        <v>8568.8950600000007</v>
      </c>
      <c r="E49" s="50">
        <v>21151.147679999998</v>
      </c>
      <c r="F49" s="49">
        <v>20.067999999999998</v>
      </c>
      <c r="G49" s="50">
        <v>71820.147200000007</v>
      </c>
      <c r="H49" s="49">
        <v>10411</v>
      </c>
      <c r="I49" s="49">
        <v>1463.9199999999998</v>
      </c>
      <c r="J49" s="49">
        <v>1839.45057</v>
      </c>
      <c r="K49" s="49">
        <v>262.15999999999997</v>
      </c>
      <c r="L49" s="49">
        <v>606.68000000000006</v>
      </c>
      <c r="M49" s="49">
        <v>575.93999999999994</v>
      </c>
      <c r="N49" s="49">
        <v>66.061999999999998</v>
      </c>
      <c r="O49" s="49">
        <v>15.254000000000001</v>
      </c>
      <c r="P49" s="49">
        <v>1.8154000000000001</v>
      </c>
      <c r="Q49" s="49">
        <v>0.80619999999999992</v>
      </c>
      <c r="R49" s="49">
        <v>0.17979999999999999</v>
      </c>
    </row>
    <row r="50" spans="1:18" s="49" customFormat="1">
      <c r="A50" s="49" t="s">
        <v>274</v>
      </c>
      <c r="B50" s="49" t="s">
        <v>196</v>
      </c>
      <c r="D50" s="50">
        <v>7433.4646200000007</v>
      </c>
      <c r="E50" s="50">
        <v>22039.711200000002</v>
      </c>
      <c r="F50" s="49">
        <v>18.981000000000002</v>
      </c>
      <c r="G50" s="50">
        <v>76427.606400000004</v>
      </c>
      <c r="H50" s="49">
        <v>10887</v>
      </c>
      <c r="I50" s="49">
        <v>1641.6000000000001</v>
      </c>
      <c r="J50" s="49">
        <v>2015.8677</v>
      </c>
      <c r="K50" s="49">
        <v>232.56</v>
      </c>
      <c r="L50" s="49">
        <v>538.65</v>
      </c>
      <c r="M50" s="49">
        <v>677.73</v>
      </c>
      <c r="N50" s="49">
        <v>73.188000000000002</v>
      </c>
      <c r="O50" s="49">
        <v>11.969999999999999</v>
      </c>
      <c r="P50" s="49">
        <v>2.109</v>
      </c>
      <c r="Q50" s="49">
        <v>0.3876</v>
      </c>
      <c r="R50" s="49">
        <v>0.11969999999999999</v>
      </c>
    </row>
    <row r="51" spans="1:18" s="49" customFormat="1">
      <c r="A51" s="49" t="s">
        <v>274</v>
      </c>
      <c r="B51" s="49" t="s">
        <v>197</v>
      </c>
      <c r="D51" s="50">
        <v>7786.4946899999995</v>
      </c>
      <c r="E51" s="50">
        <v>17122.79088</v>
      </c>
      <c r="F51" s="49">
        <v>20.064</v>
      </c>
      <c r="G51" s="50">
        <v>82868.743199999997</v>
      </c>
      <c r="H51" s="49">
        <v>12009.9</v>
      </c>
      <c r="I51" s="49">
        <v>1812.6000000000001</v>
      </c>
      <c r="J51" s="49">
        <v>1845.6970499999998</v>
      </c>
      <c r="K51" s="49">
        <v>237.69</v>
      </c>
      <c r="L51" s="49">
        <v>625.29000000000008</v>
      </c>
      <c r="M51" s="49">
        <v>691.98</v>
      </c>
      <c r="N51" s="49">
        <v>67.715999999999994</v>
      </c>
      <c r="O51" s="49">
        <v>15.561000000000002</v>
      </c>
      <c r="P51" s="49">
        <v>1.9037999999999999</v>
      </c>
      <c r="Q51" s="49">
        <v>0.49020000000000002</v>
      </c>
      <c r="R51" s="49">
        <v>8.5500000000000007E-2</v>
      </c>
    </row>
    <row r="52" spans="1:18" s="49" customFormat="1">
      <c r="A52" s="49" t="s">
        <v>274</v>
      </c>
      <c r="B52" s="49" t="s">
        <v>198</v>
      </c>
      <c r="D52" s="50">
        <v>7909.4602199999999</v>
      </c>
      <c r="E52" s="50">
        <v>21319.459200000001</v>
      </c>
      <c r="F52" s="49">
        <v>18.867000000000001</v>
      </c>
      <c r="G52" s="50">
        <v>83139.379199999996</v>
      </c>
      <c r="H52" s="49">
        <v>11867.4</v>
      </c>
      <c r="I52" s="49">
        <v>1744.2</v>
      </c>
      <c r="J52" s="49">
        <v>2155.4948999999997</v>
      </c>
      <c r="K52" s="49">
        <v>261.63</v>
      </c>
      <c r="L52" s="49">
        <v>604.19999999999993</v>
      </c>
      <c r="M52" s="49">
        <v>638.97</v>
      </c>
      <c r="N52" s="49">
        <v>65.835000000000008</v>
      </c>
      <c r="O52" s="49">
        <v>15.048</v>
      </c>
      <c r="P52" s="49">
        <v>1.6073999999999999</v>
      </c>
      <c r="Q52" s="49">
        <v>0.5300999999999999</v>
      </c>
      <c r="R52" s="49">
        <v>0.1653</v>
      </c>
    </row>
    <row r="53" spans="1:18" s="49" customFormat="1">
      <c r="A53" s="49" t="s">
        <v>274</v>
      </c>
      <c r="B53" s="49" t="s">
        <v>199</v>
      </c>
      <c r="D53" s="50">
        <v>11496.268</v>
      </c>
      <c r="E53" s="50">
        <v>28351.814400000003</v>
      </c>
      <c r="F53" s="49">
        <v>21.728000000000002</v>
      </c>
      <c r="G53" s="50">
        <v>80404.531199999998</v>
      </c>
      <c r="H53" s="49">
        <v>12051.199999999999</v>
      </c>
      <c r="I53" s="49">
        <v>1747.2</v>
      </c>
      <c r="J53" s="49">
        <v>2083.3847999999998</v>
      </c>
      <c r="K53" s="49">
        <v>206.08</v>
      </c>
      <c r="L53" s="49">
        <v>470.40000000000003</v>
      </c>
      <c r="M53" s="49">
        <v>744.24</v>
      </c>
      <c r="N53" s="49">
        <v>67.647999999999996</v>
      </c>
      <c r="O53" s="49">
        <v>15.400000000000002</v>
      </c>
      <c r="P53" s="49">
        <v>1.792</v>
      </c>
      <c r="Q53" s="49">
        <v>0.2072</v>
      </c>
      <c r="R53" s="49">
        <v>2.5760000000000002E-2</v>
      </c>
    </row>
    <row r="54" spans="1:18" s="49" customFormat="1">
      <c r="A54" s="49" t="s">
        <v>274</v>
      </c>
      <c r="B54" s="49" t="s">
        <v>200</v>
      </c>
      <c r="D54" s="50">
        <v>9285.8808299999982</v>
      </c>
      <c r="E54" s="50">
        <v>23192.114400000002</v>
      </c>
      <c r="F54" s="49">
        <v>21.945</v>
      </c>
      <c r="G54" s="50">
        <v>76914.751199999999</v>
      </c>
      <c r="H54" s="49">
        <v>11457</v>
      </c>
      <c r="I54" s="49">
        <v>1721.3999999999999</v>
      </c>
      <c r="J54" s="49">
        <v>2011.5043500000002</v>
      </c>
      <c r="K54" s="49">
        <v>244.53</v>
      </c>
      <c r="L54" s="49">
        <v>524.97</v>
      </c>
      <c r="M54" s="49">
        <v>579.68999999999994</v>
      </c>
      <c r="N54" s="49">
        <v>66.917999999999992</v>
      </c>
      <c r="O54" s="49">
        <v>16.017000000000003</v>
      </c>
      <c r="P54" s="49">
        <v>1.9950000000000001</v>
      </c>
      <c r="Q54" s="49">
        <v>0.24510000000000001</v>
      </c>
      <c r="R54" s="49">
        <v>0.1653</v>
      </c>
    </row>
    <row r="55" spans="1:18" s="49" customFormat="1">
      <c r="A55" s="49" t="s">
        <v>274</v>
      </c>
      <c r="B55" s="49" t="s">
        <v>201</v>
      </c>
      <c r="D55" s="50">
        <v>8330.7580799999996</v>
      </c>
      <c r="E55" s="50">
        <v>20569.7232</v>
      </c>
      <c r="F55" s="49">
        <v>20.183999999999997</v>
      </c>
      <c r="G55" s="50">
        <v>76942.289600000004</v>
      </c>
      <c r="H55" s="49">
        <v>10857.599999999999</v>
      </c>
      <c r="I55" s="49">
        <v>1705.1999999999998</v>
      </c>
      <c r="J55" s="49">
        <v>2006.8348000000001</v>
      </c>
      <c r="K55" s="49">
        <v>249.98</v>
      </c>
      <c r="L55" s="49">
        <v>535.91999999999996</v>
      </c>
      <c r="M55" s="49">
        <v>549.84</v>
      </c>
      <c r="N55" s="49">
        <v>61.944000000000003</v>
      </c>
      <c r="O55" s="49">
        <v>10.73</v>
      </c>
      <c r="P55" s="49">
        <v>1.6066</v>
      </c>
      <c r="Q55" s="49">
        <v>0.24359999999999998</v>
      </c>
      <c r="R55" s="49">
        <v>0.12179999999999999</v>
      </c>
    </row>
    <row r="56" spans="1:18" s="49" customFormat="1">
      <c r="A56" s="49" t="s">
        <v>274</v>
      </c>
      <c r="B56" s="49" t="s">
        <v>202</v>
      </c>
      <c r="D56" s="50">
        <v>9698.4103500000001</v>
      </c>
      <c r="E56" s="50">
        <v>22519.879199999999</v>
      </c>
      <c r="F56" s="49">
        <v>17.669999999999998</v>
      </c>
      <c r="G56" s="50">
        <v>81353.181599999996</v>
      </c>
      <c r="H56" s="49">
        <v>12198</v>
      </c>
      <c r="I56" s="49">
        <v>1761.3</v>
      </c>
      <c r="J56" s="49">
        <v>2081.3179500000001</v>
      </c>
      <c r="K56" s="49">
        <v>241.11</v>
      </c>
      <c r="L56" s="49">
        <v>583.11</v>
      </c>
      <c r="M56" s="49">
        <v>665.76</v>
      </c>
      <c r="N56" s="49">
        <v>67.772999999999996</v>
      </c>
      <c r="O56" s="49">
        <v>10.715999999999999</v>
      </c>
      <c r="P56" s="49">
        <v>1.9380000000000002</v>
      </c>
      <c r="Q56" s="49">
        <v>0.43890000000000001</v>
      </c>
      <c r="R56" s="49">
        <v>8.7779999999999997E-2</v>
      </c>
    </row>
    <row r="57" spans="1:18" s="49" customFormat="1">
      <c r="A57" s="49" t="s">
        <v>274</v>
      </c>
      <c r="B57" s="49" t="s">
        <v>203</v>
      </c>
      <c r="D57" s="50">
        <v>8556.0209099999993</v>
      </c>
      <c r="E57" s="50">
        <v>20983.3416</v>
      </c>
      <c r="F57" s="49">
        <v>18.183</v>
      </c>
      <c r="G57" s="50">
        <v>79891.747199999998</v>
      </c>
      <c r="H57" s="49">
        <v>12123.9</v>
      </c>
      <c r="I57" s="49">
        <v>1789.8</v>
      </c>
      <c r="J57" s="49">
        <v>2190.4016999999999</v>
      </c>
      <c r="K57" s="49">
        <v>254.79</v>
      </c>
      <c r="L57" s="49">
        <v>526.11</v>
      </c>
      <c r="M57" s="49">
        <v>595.07999999999993</v>
      </c>
      <c r="N57" s="49">
        <v>73.016999999999996</v>
      </c>
      <c r="O57" s="49">
        <v>10.088999999999999</v>
      </c>
      <c r="P57" s="49">
        <v>1.71</v>
      </c>
      <c r="Q57" s="49">
        <v>6.2700000000000006E-2</v>
      </c>
      <c r="R57" s="49">
        <v>0.13109999999999999</v>
      </c>
    </row>
    <row r="58" spans="1:18" s="49" customFormat="1">
      <c r="A58" s="49" t="s">
        <v>274</v>
      </c>
      <c r="B58" s="49" t="s">
        <v>204</v>
      </c>
      <c r="D58" s="50">
        <v>11099.605</v>
      </c>
      <c r="E58" s="50">
        <v>29142.828000000001</v>
      </c>
      <c r="F58" s="49">
        <v>19.855</v>
      </c>
      <c r="G58" s="50">
        <v>80587.804000000004</v>
      </c>
      <c r="H58" s="49">
        <v>12100</v>
      </c>
      <c r="I58" s="49">
        <v>1760</v>
      </c>
      <c r="J58" s="49">
        <v>2197.7505000000001</v>
      </c>
      <c r="K58" s="49">
        <v>215.05</v>
      </c>
      <c r="L58" s="49">
        <v>503.25</v>
      </c>
      <c r="M58" s="49">
        <v>825</v>
      </c>
      <c r="N58" s="49">
        <v>75.899999999999991</v>
      </c>
      <c r="O58" s="49">
        <v>17.765000000000001</v>
      </c>
      <c r="P58" s="49">
        <v>1.87</v>
      </c>
      <c r="Q58" s="49">
        <v>0.253</v>
      </c>
      <c r="R58" s="49">
        <v>9.35E-2</v>
      </c>
    </row>
    <row r="59" spans="1:18" s="49" customFormat="1">
      <c r="A59" s="49" t="s">
        <v>274</v>
      </c>
      <c r="B59" s="49" t="s">
        <v>205</v>
      </c>
      <c r="D59" s="50">
        <v>9765.9822399999994</v>
      </c>
      <c r="E59" s="50">
        <v>19530.2016</v>
      </c>
      <c r="F59" s="49">
        <v>15.791999999999998</v>
      </c>
      <c r="G59" s="50">
        <v>84711.916800000006</v>
      </c>
      <c r="H59" s="49">
        <v>12667.199999999999</v>
      </c>
      <c r="I59" s="49">
        <v>1842.3999999999999</v>
      </c>
      <c r="J59" s="49">
        <v>2156.2603999999997</v>
      </c>
      <c r="K59" s="49">
        <v>221.20000000000002</v>
      </c>
      <c r="L59" s="49">
        <v>526.96</v>
      </c>
      <c r="M59" s="49">
        <v>568.96</v>
      </c>
      <c r="N59" s="49">
        <v>67.2</v>
      </c>
      <c r="O59" s="49">
        <v>10.864000000000001</v>
      </c>
      <c r="P59" s="49">
        <v>2.968</v>
      </c>
      <c r="Q59" s="49">
        <v>0.28560000000000002</v>
      </c>
      <c r="R59" s="49">
        <v>3.6400000000000002E-2</v>
      </c>
    </row>
    <row r="60" spans="1:18" s="49" customFormat="1">
      <c r="A60" s="49" t="s">
        <v>274</v>
      </c>
      <c r="B60" s="49" t="s">
        <v>206</v>
      </c>
      <c r="D60" s="50">
        <v>8817.8184899999997</v>
      </c>
      <c r="E60" s="50">
        <v>20954.53152</v>
      </c>
      <c r="F60" s="49">
        <v>20.975999999999999</v>
      </c>
      <c r="G60" s="50">
        <v>78051.422399999996</v>
      </c>
      <c r="H60" s="49">
        <v>10807.199999999999</v>
      </c>
      <c r="I60" s="49">
        <v>1590.3</v>
      </c>
      <c r="J60" s="49">
        <v>1857.9144299999998</v>
      </c>
      <c r="K60" s="49">
        <v>259.34999999999997</v>
      </c>
      <c r="L60" s="49">
        <v>613.89</v>
      </c>
      <c r="M60" s="49">
        <v>589.94999999999993</v>
      </c>
      <c r="N60" s="49">
        <v>66.461999999999989</v>
      </c>
      <c r="O60" s="49">
        <v>15.732000000000001</v>
      </c>
      <c r="P60" s="49">
        <v>1.3736999999999999</v>
      </c>
      <c r="Q60" s="49">
        <v>0.43890000000000001</v>
      </c>
      <c r="R60" s="49">
        <v>0.1482</v>
      </c>
    </row>
    <row r="61" spans="1:18" s="49" customFormat="1">
      <c r="A61" s="49" t="s">
        <v>274</v>
      </c>
      <c r="B61" s="49" t="s">
        <v>207</v>
      </c>
      <c r="D61" s="50">
        <v>8603.6204699999998</v>
      </c>
      <c r="E61" s="50">
        <v>24296.500800000002</v>
      </c>
      <c r="F61" s="49">
        <v>18.810000000000002</v>
      </c>
      <c r="G61" s="50">
        <v>75128.553599999999</v>
      </c>
      <c r="H61" s="49">
        <v>10413.9</v>
      </c>
      <c r="I61" s="49">
        <v>1601.7</v>
      </c>
      <c r="J61" s="49">
        <v>2061.682875</v>
      </c>
      <c r="K61" s="49">
        <v>266.19</v>
      </c>
      <c r="L61" s="49">
        <v>576.83999999999992</v>
      </c>
      <c r="M61" s="49">
        <v>572.28</v>
      </c>
      <c r="N61" s="49">
        <v>62.586000000000006</v>
      </c>
      <c r="O61" s="49">
        <v>9.2910000000000004</v>
      </c>
      <c r="P61" s="49">
        <v>1.9095000000000002</v>
      </c>
      <c r="Q61" s="49">
        <v>0.42749999999999999</v>
      </c>
      <c r="R61" s="49">
        <v>0.39329999999999998</v>
      </c>
    </row>
    <row r="62" spans="1:18" s="49" customFormat="1">
      <c r="A62" s="49" t="s">
        <v>274</v>
      </c>
      <c r="B62" s="49" t="s">
        <v>208</v>
      </c>
      <c r="D62" s="50">
        <v>10103.006609999999</v>
      </c>
      <c r="E62" s="50">
        <v>23926.771440000004</v>
      </c>
      <c r="F62" s="49">
        <v>21.318000000000001</v>
      </c>
      <c r="G62" s="50">
        <v>73342.356</v>
      </c>
      <c r="H62" s="49">
        <v>9798.3000000000011</v>
      </c>
      <c r="I62" s="49">
        <v>1470.6000000000001</v>
      </c>
      <c r="J62" s="49">
        <v>1627.5295499999997</v>
      </c>
      <c r="K62" s="49">
        <v>251.37</v>
      </c>
      <c r="L62" s="49">
        <v>542.64</v>
      </c>
      <c r="M62" s="49">
        <v>596.79000000000008</v>
      </c>
      <c r="N62" s="49">
        <v>60.078000000000003</v>
      </c>
      <c r="O62" s="49">
        <v>19.095000000000002</v>
      </c>
      <c r="P62" s="49">
        <v>1.5047999999999999</v>
      </c>
      <c r="Q62" s="49">
        <v>0.49589999999999995</v>
      </c>
      <c r="R62" s="49">
        <v>0.15959999999999999</v>
      </c>
    </row>
    <row r="63" spans="1:18" s="49" customFormat="1">
      <c r="A63" s="49" t="s">
        <v>274</v>
      </c>
      <c r="B63" s="49" t="s">
        <v>209</v>
      </c>
      <c r="D63" s="50">
        <v>10075.2402</v>
      </c>
      <c r="E63" s="50">
        <v>25592.954400000002</v>
      </c>
      <c r="F63" s="49">
        <v>21.545999999999999</v>
      </c>
      <c r="G63" s="50">
        <v>74424.899999999994</v>
      </c>
      <c r="H63" s="49">
        <v>10128.9</v>
      </c>
      <c r="I63" s="49">
        <v>1550.3999999999999</v>
      </c>
      <c r="J63" s="49">
        <v>1696.0341449999996</v>
      </c>
      <c r="K63" s="49">
        <v>247.95</v>
      </c>
      <c r="L63" s="49">
        <v>534.08999999999992</v>
      </c>
      <c r="M63" s="49">
        <v>613.89</v>
      </c>
      <c r="N63" s="49">
        <v>62.016000000000005</v>
      </c>
      <c r="O63" s="49">
        <v>21.033000000000001</v>
      </c>
      <c r="P63" s="49">
        <v>1.5504</v>
      </c>
      <c r="Q63" s="49">
        <v>0.67259999999999998</v>
      </c>
      <c r="R63" s="49">
        <v>8.5500000000000007E-2</v>
      </c>
    </row>
    <row r="64" spans="1:18" s="49" customFormat="1">
      <c r="A64" s="49" t="s">
        <v>274</v>
      </c>
      <c r="B64" s="49" t="s">
        <v>210</v>
      </c>
      <c r="D64" s="50">
        <v>9484.2123299999985</v>
      </c>
      <c r="E64" s="50">
        <v>22524.68088</v>
      </c>
      <c r="F64" s="49">
        <v>21.489000000000001</v>
      </c>
      <c r="G64" s="50">
        <v>79945.874400000001</v>
      </c>
      <c r="H64" s="49">
        <v>11160.6</v>
      </c>
      <c r="I64" s="49">
        <v>1653</v>
      </c>
      <c r="J64" s="49">
        <v>1758.4300499999999</v>
      </c>
      <c r="K64" s="49">
        <v>253.65</v>
      </c>
      <c r="L64" s="49">
        <v>604.77</v>
      </c>
      <c r="M64" s="49">
        <v>627</v>
      </c>
      <c r="N64" s="49">
        <v>61.332000000000001</v>
      </c>
      <c r="O64" s="49">
        <v>15.675000000000001</v>
      </c>
      <c r="P64" s="49">
        <v>1.8240000000000001</v>
      </c>
      <c r="Q64" s="49">
        <v>0.39900000000000002</v>
      </c>
      <c r="R64" s="49">
        <v>0.14250000000000002</v>
      </c>
    </row>
    <row r="65" spans="1:18" s="49" customFormat="1">
      <c r="A65" s="49" t="s">
        <v>274</v>
      </c>
      <c r="B65" s="49" t="s">
        <v>211</v>
      </c>
      <c r="D65" s="50">
        <v>7979.6069399999988</v>
      </c>
      <c r="E65" s="50">
        <v>18371.0592</v>
      </c>
      <c r="F65" s="49">
        <v>20.532</v>
      </c>
      <c r="G65" s="50">
        <v>77933.672000000006</v>
      </c>
      <c r="H65" s="49">
        <v>11130.2</v>
      </c>
      <c r="I65" s="49">
        <v>1647.1999999999998</v>
      </c>
      <c r="J65" s="49">
        <v>1753.7604999999999</v>
      </c>
      <c r="K65" s="49">
        <v>285.94</v>
      </c>
      <c r="L65" s="49">
        <v>641.48</v>
      </c>
      <c r="M65" s="49">
        <v>504.59999999999997</v>
      </c>
      <c r="N65" s="49">
        <v>71.166000000000011</v>
      </c>
      <c r="O65" s="49">
        <v>17.167999999999999</v>
      </c>
      <c r="P65" s="49">
        <v>9.8600000000000012</v>
      </c>
      <c r="Q65" s="49">
        <v>0.81200000000000006</v>
      </c>
      <c r="R65" s="49">
        <v>0.22619999999999998</v>
      </c>
    </row>
    <row r="66" spans="1:18" s="49" customFormat="1">
      <c r="A66" s="49" t="s">
        <v>274</v>
      </c>
      <c r="B66" s="49" t="s">
        <v>212</v>
      </c>
      <c r="D66" s="50">
        <v>10888.329759999999</v>
      </c>
      <c r="E66" s="50">
        <v>23917.4208</v>
      </c>
      <c r="F66" s="49">
        <v>20.439999999999998</v>
      </c>
      <c r="G66" s="50">
        <v>77479.763200000001</v>
      </c>
      <c r="H66" s="49">
        <v>11032</v>
      </c>
      <c r="I66" s="49">
        <v>1646.3999999999999</v>
      </c>
      <c r="J66" s="49">
        <v>1817.6032</v>
      </c>
      <c r="K66" s="49">
        <v>222.88</v>
      </c>
      <c r="L66" s="49">
        <v>459.76000000000005</v>
      </c>
      <c r="M66" s="49">
        <v>720.16</v>
      </c>
      <c r="N66" s="49">
        <v>66.64</v>
      </c>
      <c r="O66" s="49">
        <v>16.687999999999999</v>
      </c>
      <c r="P66" s="49">
        <v>1.9040000000000001</v>
      </c>
      <c r="Q66" s="49">
        <v>0.2072</v>
      </c>
      <c r="R66" s="49">
        <v>0.1288</v>
      </c>
    </row>
    <row r="67" spans="1:18" s="49" customFormat="1">
      <c r="A67" s="49" t="s">
        <v>274</v>
      </c>
      <c r="B67" s="49" t="s">
        <v>213</v>
      </c>
      <c r="D67" s="50">
        <v>9004.2500999999993</v>
      </c>
      <c r="E67" s="50">
        <v>21319.459200000001</v>
      </c>
      <c r="F67" s="49">
        <v>19.835999999999999</v>
      </c>
      <c r="G67" s="50">
        <v>77347.768800000005</v>
      </c>
      <c r="H67" s="49">
        <v>10755.9</v>
      </c>
      <c r="I67" s="49">
        <v>1692.8999999999999</v>
      </c>
      <c r="J67" s="49">
        <v>1768.4657549999999</v>
      </c>
      <c r="K67" s="49">
        <v>234.84</v>
      </c>
      <c r="L67" s="49">
        <v>502.74</v>
      </c>
      <c r="M67" s="49">
        <v>501.03</v>
      </c>
      <c r="N67" s="49">
        <v>61.274999999999999</v>
      </c>
      <c r="O67" s="49">
        <v>14.649000000000001</v>
      </c>
      <c r="P67" s="49">
        <v>1.8924000000000001</v>
      </c>
      <c r="Q67" s="49">
        <v>0.32490000000000002</v>
      </c>
      <c r="R67" s="49">
        <v>0.1767</v>
      </c>
    </row>
    <row r="68" spans="1:18" s="49" customFormat="1">
      <c r="A68" s="49" t="s">
        <v>274</v>
      </c>
      <c r="B68" s="49" t="s">
        <v>214</v>
      </c>
      <c r="D68" s="50">
        <v>8992.3502099999987</v>
      </c>
      <c r="E68" s="50">
        <v>19173.108240000001</v>
      </c>
      <c r="F68" s="49">
        <v>20.634</v>
      </c>
      <c r="G68" s="50">
        <v>81082.545599999998</v>
      </c>
      <c r="H68" s="49">
        <v>11445.6</v>
      </c>
      <c r="I68" s="49">
        <v>1721.3999999999999</v>
      </c>
      <c r="J68" s="49">
        <v>1771.5201000000002</v>
      </c>
      <c r="K68" s="49">
        <v>239.97</v>
      </c>
      <c r="L68" s="49">
        <v>561.44999999999993</v>
      </c>
      <c r="M68" s="49">
        <v>600.20999999999992</v>
      </c>
      <c r="N68" s="49">
        <v>83.22</v>
      </c>
      <c r="O68" s="49">
        <v>18.068999999999999</v>
      </c>
      <c r="P68" s="49">
        <v>1.6986000000000001</v>
      </c>
      <c r="Q68" s="49">
        <v>0.86639999999999995</v>
      </c>
      <c r="R68" s="49">
        <v>0.18240000000000001</v>
      </c>
    </row>
    <row r="69" spans="1:18" s="49" customFormat="1">
      <c r="A69" s="49" t="s">
        <v>274</v>
      </c>
      <c r="B69" s="49" t="s">
        <v>215</v>
      </c>
      <c r="D69" s="50">
        <v>9865.0088099999994</v>
      </c>
      <c r="E69" s="50">
        <v>23768.316000000003</v>
      </c>
      <c r="F69" s="49">
        <v>23.882999999999999</v>
      </c>
      <c r="G69" s="50">
        <v>72855.211200000005</v>
      </c>
      <c r="H69" s="49">
        <v>9878.1</v>
      </c>
      <c r="I69" s="49">
        <v>1539</v>
      </c>
      <c r="J69" s="49">
        <v>1696.0341449999996</v>
      </c>
      <c r="K69" s="49">
        <v>251.94</v>
      </c>
      <c r="L69" s="49">
        <v>529.53</v>
      </c>
      <c r="M69" s="49">
        <v>568.86</v>
      </c>
      <c r="N69" s="49">
        <v>68.399999999999991</v>
      </c>
      <c r="O69" s="49">
        <v>15.105</v>
      </c>
      <c r="P69" s="49">
        <v>1.2597</v>
      </c>
      <c r="Q69" s="49">
        <v>0.50729999999999997</v>
      </c>
      <c r="R69" s="49">
        <v>5.9849999999999993E-2</v>
      </c>
    </row>
    <row r="70" spans="1:18" s="49" customFormat="1">
      <c r="A70" s="49" t="s">
        <v>274</v>
      </c>
      <c r="B70" s="49" t="s">
        <v>216</v>
      </c>
      <c r="D70" s="50">
        <v>8617.3297000000002</v>
      </c>
      <c r="E70" s="50">
        <v>21942.666720000005</v>
      </c>
      <c r="F70" s="49">
        <v>19.256</v>
      </c>
      <c r="G70" s="50">
        <v>75069.678400000004</v>
      </c>
      <c r="H70" s="49">
        <v>10608.2</v>
      </c>
      <c r="I70" s="49">
        <v>1566.5800000000002</v>
      </c>
      <c r="J70" s="49">
        <v>1831.45875</v>
      </c>
      <c r="K70" s="49">
        <v>270.28000000000003</v>
      </c>
      <c r="L70" s="49">
        <v>605.52</v>
      </c>
      <c r="M70" s="49">
        <v>531.28</v>
      </c>
      <c r="N70" s="49">
        <v>62.872000000000007</v>
      </c>
      <c r="O70" s="49">
        <v>17.225999999999999</v>
      </c>
      <c r="P70" s="49">
        <v>1.4383999999999999</v>
      </c>
      <c r="Q70" s="49">
        <v>0.59160000000000001</v>
      </c>
      <c r="R70" s="49">
        <v>6.9599999999999995E-2</v>
      </c>
    </row>
    <row r="71" spans="1:18" s="49" customFormat="1">
      <c r="A71" s="49" t="s">
        <v>274</v>
      </c>
      <c r="B71" s="49" t="s">
        <v>217</v>
      </c>
      <c r="D71" s="50">
        <v>9075.6494399999992</v>
      </c>
      <c r="E71" s="50">
        <v>22759.963200000002</v>
      </c>
      <c r="F71" s="49">
        <v>19.721999999999998</v>
      </c>
      <c r="G71" s="50">
        <v>72855.211200000005</v>
      </c>
      <c r="H71" s="49">
        <v>10453.800000000001</v>
      </c>
      <c r="I71" s="49">
        <v>1544.7</v>
      </c>
      <c r="J71" s="49">
        <v>1837.4066849999999</v>
      </c>
      <c r="K71" s="49">
        <v>270.18</v>
      </c>
      <c r="L71" s="49">
        <v>600.78</v>
      </c>
      <c r="M71" s="49">
        <v>563.16000000000008</v>
      </c>
      <c r="N71" s="49">
        <v>66.347999999999999</v>
      </c>
      <c r="O71" s="49">
        <v>12.597</v>
      </c>
      <c r="P71" s="49">
        <v>1.4592000000000001</v>
      </c>
      <c r="Q71" s="49">
        <v>0.65549999999999997</v>
      </c>
      <c r="R71" s="49">
        <v>8.5500000000000007E-2</v>
      </c>
    </row>
    <row r="72" spans="1:18" s="49" customFormat="1">
      <c r="A72" s="49" t="s">
        <v>274</v>
      </c>
      <c r="B72" s="49" t="s">
        <v>218</v>
      </c>
      <c r="D72" s="50">
        <v>8556.786399999999</v>
      </c>
      <c r="E72" s="50">
        <v>19309.155839999999</v>
      </c>
      <c r="F72" s="49">
        <v>23.663999999999998</v>
      </c>
      <c r="G72" s="50">
        <v>79200.438399999999</v>
      </c>
      <c r="H72" s="49">
        <v>11118.599999999999</v>
      </c>
      <c r="I72" s="49">
        <v>1629.8000000000002</v>
      </c>
      <c r="J72" s="49">
        <v>1783.0638399999998</v>
      </c>
      <c r="K72" s="49">
        <v>262.15999999999997</v>
      </c>
      <c r="L72" s="49">
        <v>580.58000000000004</v>
      </c>
      <c r="M72" s="49">
        <v>537.08000000000004</v>
      </c>
      <c r="N72" s="49">
        <v>65.887999999999991</v>
      </c>
      <c r="O72" s="49">
        <v>12.76</v>
      </c>
      <c r="P72" s="49">
        <v>1.5254000000000001</v>
      </c>
      <c r="Q72" s="49">
        <v>0.51040000000000008</v>
      </c>
      <c r="R72" s="49">
        <v>0.10150000000000001</v>
      </c>
    </row>
    <row r="73" spans="1:18" s="49" customFormat="1">
      <c r="A73" s="49" t="s">
        <v>274</v>
      </c>
      <c r="B73" s="49" t="s">
        <v>219</v>
      </c>
      <c r="D73" s="50">
        <v>9158.9486699999998</v>
      </c>
      <c r="E73" s="50">
        <v>20882.50632</v>
      </c>
      <c r="F73" s="49">
        <v>23.142000000000003</v>
      </c>
      <c r="G73" s="50">
        <v>76535.860799999995</v>
      </c>
      <c r="H73" s="49">
        <v>11040.9</v>
      </c>
      <c r="I73" s="49">
        <v>1613.1000000000001</v>
      </c>
      <c r="J73" s="49">
        <v>1819.0806149999999</v>
      </c>
      <c r="K73" s="49">
        <v>256.5</v>
      </c>
      <c r="L73" s="49">
        <v>544.35</v>
      </c>
      <c r="M73" s="49">
        <v>552.9</v>
      </c>
      <c r="N73" s="49">
        <v>60.590999999999994</v>
      </c>
      <c r="O73" s="49">
        <v>20.405999999999999</v>
      </c>
      <c r="P73" s="49">
        <v>1.6986000000000001</v>
      </c>
      <c r="Q73" s="49">
        <v>0.4047</v>
      </c>
      <c r="R73" s="49">
        <v>0.114</v>
      </c>
    </row>
    <row r="74" spans="1:18" s="49" customFormat="1">
      <c r="A74" s="49" t="s">
        <v>274</v>
      </c>
      <c r="B74" s="49" t="s">
        <v>220</v>
      </c>
      <c r="D74" s="50">
        <v>9043.9164000000001</v>
      </c>
      <c r="E74" s="50">
        <v>21324.260880000002</v>
      </c>
      <c r="F74" s="49">
        <v>19.721999999999998</v>
      </c>
      <c r="G74" s="50">
        <v>79837.62</v>
      </c>
      <c r="H74" s="49">
        <v>11160.6</v>
      </c>
      <c r="I74" s="49">
        <v>1698.6000000000001</v>
      </c>
      <c r="J74" s="49">
        <v>1834.3523399999997</v>
      </c>
      <c r="K74" s="49">
        <v>258.21000000000004</v>
      </c>
      <c r="L74" s="49">
        <v>610.47</v>
      </c>
      <c r="M74" s="49">
        <v>548.91000000000008</v>
      </c>
      <c r="N74" s="49">
        <v>67.430999999999997</v>
      </c>
      <c r="O74" s="49">
        <v>16.757999999999999</v>
      </c>
      <c r="P74" s="49">
        <v>1.7784</v>
      </c>
      <c r="Q74" s="49">
        <v>0.54149999999999998</v>
      </c>
      <c r="R74" s="49">
        <v>0.12540000000000001</v>
      </c>
    </row>
    <row r="75" spans="1:18" s="49" customFormat="1">
      <c r="A75" s="49" t="s">
        <v>274</v>
      </c>
      <c r="B75" s="49" t="s">
        <v>221</v>
      </c>
      <c r="D75" s="50">
        <v>9364.5871200000001</v>
      </c>
      <c r="E75" s="50">
        <v>25993.094400000002</v>
      </c>
      <c r="F75" s="49">
        <v>22.344000000000001</v>
      </c>
      <c r="G75" s="50">
        <v>75990.790399999998</v>
      </c>
      <c r="H75" s="49">
        <v>10528</v>
      </c>
      <c r="I75" s="49">
        <v>1596</v>
      </c>
      <c r="J75" s="49">
        <v>1829.6062399999998</v>
      </c>
      <c r="K75" s="49">
        <v>253.11999999999998</v>
      </c>
      <c r="L75" s="49">
        <v>549.92000000000007</v>
      </c>
      <c r="M75" s="49">
        <v>725.76</v>
      </c>
      <c r="N75" s="49">
        <v>60.983999999999995</v>
      </c>
      <c r="O75" s="49">
        <v>14.728000000000002</v>
      </c>
      <c r="P75" s="49">
        <v>1.1312</v>
      </c>
      <c r="Q75" s="49">
        <v>0.4088</v>
      </c>
      <c r="R75" s="49">
        <v>6.7760000000000001E-2</v>
      </c>
    </row>
    <row r="76" spans="1:18" s="49" customFormat="1">
      <c r="A76" s="49" t="s">
        <v>274</v>
      </c>
      <c r="B76" s="49" t="s">
        <v>222</v>
      </c>
      <c r="D76" s="50">
        <v>8615.5203599999986</v>
      </c>
      <c r="E76" s="50">
        <v>23004.848880000001</v>
      </c>
      <c r="F76" s="49">
        <v>21.318000000000001</v>
      </c>
      <c r="G76" s="50">
        <v>73937.7552</v>
      </c>
      <c r="H76" s="49">
        <v>10208.699999999999</v>
      </c>
      <c r="I76" s="49">
        <v>1539</v>
      </c>
      <c r="J76" s="49">
        <v>1759.7390549999998</v>
      </c>
      <c r="K76" s="49">
        <v>290.7</v>
      </c>
      <c r="L76" s="49">
        <v>632.13</v>
      </c>
      <c r="M76" s="49">
        <v>632.69999999999993</v>
      </c>
      <c r="N76" s="49">
        <v>67.887</v>
      </c>
      <c r="O76" s="49">
        <v>15.447000000000001</v>
      </c>
      <c r="P76" s="49">
        <v>1.7897999999999998</v>
      </c>
      <c r="Q76" s="49">
        <v>0.49020000000000002</v>
      </c>
      <c r="R76" s="49">
        <v>0.114</v>
      </c>
    </row>
    <row r="77" spans="1:18" s="49" customFormat="1">
      <c r="A77" s="49" t="s">
        <v>274</v>
      </c>
      <c r="B77" s="49" t="s">
        <v>223</v>
      </c>
      <c r="D77" s="50">
        <v>9039.9497700000011</v>
      </c>
      <c r="E77" s="50">
        <v>20018.20392</v>
      </c>
      <c r="F77" s="49">
        <v>22.629000000000001</v>
      </c>
      <c r="G77" s="50">
        <v>80974.291200000007</v>
      </c>
      <c r="H77" s="49">
        <v>11240.4</v>
      </c>
      <c r="I77" s="49">
        <v>1670.1000000000001</v>
      </c>
      <c r="J77" s="49">
        <v>1668.9813749999998</v>
      </c>
      <c r="K77" s="49">
        <v>255.93</v>
      </c>
      <c r="L77" s="49">
        <v>637.26</v>
      </c>
      <c r="M77" s="49">
        <v>565.43999999999994</v>
      </c>
      <c r="N77" s="49">
        <v>68.97</v>
      </c>
      <c r="O77" s="49">
        <v>10.715999999999999</v>
      </c>
      <c r="P77" s="49">
        <v>1.3851</v>
      </c>
      <c r="Q77" s="49">
        <v>0.41039999999999999</v>
      </c>
      <c r="R77" s="49">
        <v>0.11969999999999999</v>
      </c>
    </row>
    <row r="78" spans="1:18" s="49" customFormat="1">
      <c r="A78" s="49" t="s">
        <v>274</v>
      </c>
      <c r="B78" s="49" t="s">
        <v>224</v>
      </c>
      <c r="D78" s="50">
        <v>9101.6760999999988</v>
      </c>
      <c r="E78" s="50">
        <v>19304.269920000002</v>
      </c>
      <c r="F78" s="49">
        <v>22.213999999999999</v>
      </c>
      <c r="G78" s="50">
        <v>78043.825599999996</v>
      </c>
      <c r="H78" s="49">
        <v>10689.400000000001</v>
      </c>
      <c r="I78" s="49">
        <v>1571.8000000000002</v>
      </c>
      <c r="J78" s="49">
        <v>1787.5037399999999</v>
      </c>
      <c r="K78" s="49">
        <v>254.04</v>
      </c>
      <c r="L78" s="49">
        <v>611.90000000000009</v>
      </c>
      <c r="M78" s="49">
        <v>522.58000000000004</v>
      </c>
      <c r="N78" s="49">
        <v>60.377999999999993</v>
      </c>
      <c r="O78" s="49">
        <v>13.398000000000001</v>
      </c>
      <c r="P78" s="49">
        <v>1.3108</v>
      </c>
      <c r="Q78" s="49">
        <v>0.56840000000000002</v>
      </c>
      <c r="R78" s="49">
        <v>0.21460000000000001</v>
      </c>
    </row>
    <row r="79" spans="1:18" s="49" customFormat="1">
      <c r="A79" s="49" t="s">
        <v>274</v>
      </c>
      <c r="B79" s="49" t="s">
        <v>224</v>
      </c>
      <c r="D79" s="50">
        <v>8841.6182700000008</v>
      </c>
      <c r="E79" s="50">
        <v>20186.262719999999</v>
      </c>
      <c r="F79" s="49">
        <v>21.318000000000001</v>
      </c>
      <c r="G79" s="50">
        <v>77997.295199999993</v>
      </c>
      <c r="H79" s="49">
        <v>10755.9</v>
      </c>
      <c r="I79" s="49">
        <v>1596</v>
      </c>
      <c r="J79" s="49">
        <v>1553.3525999999999</v>
      </c>
      <c r="K79" s="49">
        <v>227.43</v>
      </c>
      <c r="L79" s="49">
        <v>538.07999999999993</v>
      </c>
      <c r="M79" s="49">
        <v>589.38</v>
      </c>
      <c r="N79" s="49">
        <v>67.203000000000003</v>
      </c>
      <c r="O79" s="49">
        <v>15.561000000000002</v>
      </c>
      <c r="P79" s="49">
        <v>1.3452</v>
      </c>
      <c r="Q79" s="49">
        <v>0.4617</v>
      </c>
      <c r="R79" s="49">
        <v>4.446E-2</v>
      </c>
    </row>
    <row r="80" spans="1:18" s="49" customFormat="1">
      <c r="A80" s="49" t="s">
        <v>274</v>
      </c>
      <c r="B80" s="49" t="s">
        <v>225</v>
      </c>
      <c r="D80" s="50">
        <v>8310.0898500000003</v>
      </c>
      <c r="E80" s="50">
        <v>19499.622480000002</v>
      </c>
      <c r="F80" s="49">
        <v>21.033000000000001</v>
      </c>
      <c r="G80" s="50">
        <v>79621.111199999999</v>
      </c>
      <c r="H80" s="49">
        <v>10972.5</v>
      </c>
      <c r="I80" s="49">
        <v>1630.2</v>
      </c>
      <c r="J80" s="49">
        <v>1805.5542300000002</v>
      </c>
      <c r="K80" s="49">
        <v>269.03999999999996</v>
      </c>
      <c r="L80" s="49">
        <v>548.91000000000008</v>
      </c>
      <c r="M80" s="49">
        <v>483.93</v>
      </c>
      <c r="N80" s="49">
        <v>66.006</v>
      </c>
      <c r="O80" s="49">
        <v>14.135999999999999</v>
      </c>
      <c r="P80" s="49">
        <v>1.9380000000000002</v>
      </c>
      <c r="Q80" s="49">
        <v>0.51300000000000001</v>
      </c>
      <c r="R80" s="49">
        <v>0.1482</v>
      </c>
    </row>
    <row r="81" spans="1:18" s="49" customFormat="1">
      <c r="A81" s="49" t="s">
        <v>274</v>
      </c>
      <c r="B81" s="49" t="s">
        <v>226</v>
      </c>
      <c r="D81" s="50">
        <v>8099.8584599999995</v>
      </c>
      <c r="E81" s="50">
        <v>21991.6944</v>
      </c>
      <c r="F81" s="49">
        <v>23.142000000000003</v>
      </c>
      <c r="G81" s="50">
        <v>83085.251999999993</v>
      </c>
      <c r="H81" s="49">
        <v>11377.199999999999</v>
      </c>
      <c r="I81" s="49">
        <v>1732.8</v>
      </c>
      <c r="J81" s="49">
        <v>1898.0572499999998</v>
      </c>
      <c r="K81" s="49">
        <v>249.66</v>
      </c>
      <c r="L81" s="49">
        <v>582.54000000000008</v>
      </c>
      <c r="M81" s="49">
        <v>605.91000000000008</v>
      </c>
      <c r="N81" s="49">
        <v>64.808999999999997</v>
      </c>
      <c r="O81" s="49">
        <v>17.157</v>
      </c>
      <c r="P81" s="49">
        <v>1.4307000000000001</v>
      </c>
      <c r="Q81" s="49">
        <v>0.57000000000000006</v>
      </c>
      <c r="R81" s="49">
        <v>9.1200000000000003E-2</v>
      </c>
    </row>
    <row r="82" spans="1:18" s="49" customFormat="1">
      <c r="A82" s="49" t="s">
        <v>274</v>
      </c>
      <c r="B82" s="49" t="s">
        <v>227</v>
      </c>
      <c r="D82" s="50">
        <v>7913.4268499999998</v>
      </c>
      <c r="E82" s="50">
        <v>23624.265600000002</v>
      </c>
      <c r="F82" s="49">
        <v>25.650000000000002</v>
      </c>
      <c r="G82" s="50">
        <v>79025.712</v>
      </c>
      <c r="H82" s="49">
        <v>10465.199999999999</v>
      </c>
      <c r="I82" s="49">
        <v>1573.2</v>
      </c>
      <c r="J82" s="49">
        <v>1950.4174499999999</v>
      </c>
      <c r="K82" s="49">
        <v>289.56</v>
      </c>
      <c r="L82" s="49">
        <v>583.11</v>
      </c>
      <c r="M82" s="49">
        <v>561.44999999999993</v>
      </c>
      <c r="N82" s="49">
        <v>61.446000000000005</v>
      </c>
      <c r="O82" s="49">
        <v>21.09</v>
      </c>
      <c r="P82" s="49">
        <v>1.5504</v>
      </c>
      <c r="Q82" s="49">
        <v>0.54719999999999991</v>
      </c>
      <c r="R82" s="49">
        <v>0.11969999999999999</v>
      </c>
    </row>
    <row r="83" spans="1:18" s="49" customFormat="1">
      <c r="A83" s="49" t="s">
        <v>274</v>
      </c>
      <c r="B83" s="49" t="s">
        <v>228</v>
      </c>
      <c r="D83" s="50">
        <v>7564.363409999999</v>
      </c>
      <c r="E83" s="50">
        <v>22587.102719999999</v>
      </c>
      <c r="F83" s="49">
        <v>22.629000000000001</v>
      </c>
      <c r="G83" s="50">
        <v>78755.076000000001</v>
      </c>
      <c r="H83" s="49">
        <v>10716</v>
      </c>
      <c r="I83" s="49">
        <v>1561.8</v>
      </c>
      <c r="J83" s="49">
        <v>2076.5182650000002</v>
      </c>
      <c r="K83" s="49">
        <v>303.24</v>
      </c>
      <c r="L83" s="49">
        <v>580.26</v>
      </c>
      <c r="M83" s="49">
        <v>530.1</v>
      </c>
      <c r="N83" s="49">
        <v>63.896999999999998</v>
      </c>
      <c r="O83" s="49">
        <v>14.535</v>
      </c>
      <c r="P83" s="49">
        <v>1.2825</v>
      </c>
      <c r="Q83" s="49">
        <v>0.46740000000000004</v>
      </c>
      <c r="R83" s="49">
        <v>0.26790000000000003</v>
      </c>
    </row>
    <row r="84" spans="1:18" s="49" customFormat="1">
      <c r="A84" s="49" t="s">
        <v>274</v>
      </c>
      <c r="B84" s="49" t="s">
        <v>229</v>
      </c>
      <c r="D84" s="50">
        <v>6155.2354999999998</v>
      </c>
      <c r="E84" s="50">
        <v>19748.888640000001</v>
      </c>
      <c r="F84" s="49">
        <v>21.634</v>
      </c>
      <c r="G84" s="50">
        <v>77052.443199999994</v>
      </c>
      <c r="H84" s="49">
        <v>10283.400000000001</v>
      </c>
      <c r="I84" s="49">
        <v>1554.4</v>
      </c>
      <c r="J84" s="49">
        <v>1529.98954</v>
      </c>
      <c r="K84" s="49">
        <v>161.82</v>
      </c>
      <c r="L84" s="49">
        <v>389.76</v>
      </c>
      <c r="M84" s="49">
        <v>498.79999999999995</v>
      </c>
      <c r="N84" s="49">
        <v>65.25</v>
      </c>
      <c r="O84" s="49">
        <v>18.734000000000002</v>
      </c>
      <c r="P84" s="49">
        <v>1.5544</v>
      </c>
      <c r="Q84" s="49">
        <v>0.4698</v>
      </c>
      <c r="R84" s="49">
        <v>0.11020000000000001</v>
      </c>
    </row>
    <row r="85" spans="1:18" s="49" customFormat="1">
      <c r="A85" s="49" t="s">
        <v>274</v>
      </c>
      <c r="B85" s="49" t="s">
        <v>230</v>
      </c>
      <c r="D85" s="50">
        <v>7987.6793800000005</v>
      </c>
      <c r="E85" s="50">
        <v>20667.441600000002</v>
      </c>
      <c r="F85" s="49">
        <v>24.36</v>
      </c>
      <c r="G85" s="50">
        <v>79200.438399999999</v>
      </c>
      <c r="H85" s="49">
        <v>10277.599999999999</v>
      </c>
      <c r="I85" s="49">
        <v>1589.1999999999998</v>
      </c>
      <c r="J85" s="49">
        <v>1795.0515699999999</v>
      </c>
      <c r="K85" s="49">
        <v>269.12</v>
      </c>
      <c r="L85" s="49">
        <v>578.84</v>
      </c>
      <c r="M85" s="49">
        <v>468.64</v>
      </c>
      <c r="N85" s="49">
        <v>58.811999999999998</v>
      </c>
      <c r="O85" s="49">
        <v>11.252000000000001</v>
      </c>
      <c r="P85" s="49">
        <v>1.2296</v>
      </c>
      <c r="Q85" s="49">
        <v>0.63800000000000001</v>
      </c>
      <c r="R85" s="49">
        <v>0.11020000000000001</v>
      </c>
    </row>
    <row r="86" spans="1:18" s="49" customFormat="1">
      <c r="A86" s="49" t="s">
        <v>274</v>
      </c>
      <c r="B86" s="49" t="s">
        <v>231</v>
      </c>
      <c r="D86" s="50">
        <v>8702.0903199999993</v>
      </c>
      <c r="E86" s="50">
        <v>21419.87328</v>
      </c>
      <c r="F86" s="49">
        <v>26.158000000000001</v>
      </c>
      <c r="G86" s="50">
        <v>76501.675199999998</v>
      </c>
      <c r="H86" s="49">
        <v>10155.799999999999</v>
      </c>
      <c r="I86" s="49">
        <v>1484.8000000000002</v>
      </c>
      <c r="J86" s="49">
        <v>1868.7539100000001</v>
      </c>
      <c r="K86" s="49">
        <v>274.34000000000003</v>
      </c>
      <c r="L86" s="49">
        <v>582.31999999999994</v>
      </c>
      <c r="M86" s="49">
        <v>572.45999999999992</v>
      </c>
      <c r="N86" s="49">
        <v>63.277999999999999</v>
      </c>
      <c r="O86" s="49">
        <v>17.167999999999999</v>
      </c>
      <c r="P86" s="49">
        <v>1.6646000000000001</v>
      </c>
      <c r="Q86" s="49">
        <v>0.57420000000000004</v>
      </c>
      <c r="R86" s="49">
        <v>0.17400000000000002</v>
      </c>
    </row>
    <row r="87" spans="1:18" s="49" customFormat="1">
      <c r="A87" s="49" t="s">
        <v>274</v>
      </c>
      <c r="B87" s="49" t="s">
        <v>232</v>
      </c>
      <c r="D87" s="50">
        <v>8593.1123800000005</v>
      </c>
      <c r="E87" s="50">
        <v>19108.833120000003</v>
      </c>
      <c r="F87" s="49">
        <v>22.272000000000002</v>
      </c>
      <c r="G87" s="50">
        <v>79696.1296</v>
      </c>
      <c r="H87" s="49">
        <v>10956.2</v>
      </c>
      <c r="I87" s="49">
        <v>1583.4</v>
      </c>
      <c r="J87" s="49">
        <v>1846.9983999999999</v>
      </c>
      <c r="K87" s="49">
        <v>276.65999999999997</v>
      </c>
      <c r="L87" s="49">
        <v>604.93999999999994</v>
      </c>
      <c r="M87" s="49">
        <v>508.65999999999997</v>
      </c>
      <c r="N87" s="49">
        <v>64.902000000000001</v>
      </c>
      <c r="O87" s="49">
        <v>22.213999999999999</v>
      </c>
      <c r="P87" s="49">
        <v>1.6878</v>
      </c>
      <c r="Q87" s="49">
        <v>0.3422</v>
      </c>
      <c r="R87" s="49">
        <v>9.2800000000000007E-2</v>
      </c>
    </row>
    <row r="88" spans="1:18" s="49" customFormat="1">
      <c r="A88" s="49" t="s">
        <v>274</v>
      </c>
      <c r="B88" s="49" t="s">
        <v>233</v>
      </c>
      <c r="D88" s="50">
        <v>7461.231029999999</v>
      </c>
      <c r="E88" s="50">
        <v>22078.124640000002</v>
      </c>
      <c r="F88" s="49">
        <v>22.458000000000002</v>
      </c>
      <c r="G88" s="50">
        <v>83031.124800000005</v>
      </c>
      <c r="H88" s="49">
        <v>10898.4</v>
      </c>
      <c r="I88" s="49">
        <v>1630.2</v>
      </c>
      <c r="J88" s="49">
        <v>2111.8613999999998</v>
      </c>
      <c r="K88" s="49">
        <v>251.94</v>
      </c>
      <c r="L88" s="49">
        <v>531.24</v>
      </c>
      <c r="M88" s="49">
        <v>566.01</v>
      </c>
      <c r="N88" s="49">
        <v>68.399999999999991</v>
      </c>
      <c r="O88" s="49">
        <v>25.935000000000002</v>
      </c>
      <c r="P88" s="49">
        <v>1.6073999999999999</v>
      </c>
      <c r="Q88" s="49">
        <v>0.49020000000000002</v>
      </c>
      <c r="R88" s="49">
        <v>0.1653</v>
      </c>
    </row>
    <row r="89" spans="1:18" s="49" customFormat="1">
      <c r="A89" s="49" t="s">
        <v>274</v>
      </c>
      <c r="B89" s="49" t="s">
        <v>234</v>
      </c>
      <c r="D89" s="50">
        <v>7462.9707800000006</v>
      </c>
      <c r="E89" s="50">
        <v>22133.2176</v>
      </c>
      <c r="F89" s="49">
        <v>28.477999999999998</v>
      </c>
      <c r="G89" s="50">
        <v>71049.072</v>
      </c>
      <c r="H89" s="49">
        <v>9958.5999999999985</v>
      </c>
      <c r="I89" s="49">
        <v>1479</v>
      </c>
      <c r="J89" s="49">
        <v>2065.8854700000002</v>
      </c>
      <c r="K89" s="49">
        <v>281.29999999999995</v>
      </c>
      <c r="L89" s="49">
        <v>580.58000000000004</v>
      </c>
      <c r="M89" s="49">
        <v>636.84</v>
      </c>
      <c r="N89" s="49">
        <v>75.98</v>
      </c>
      <c r="O89" s="49">
        <v>28.013999999999999</v>
      </c>
      <c r="P89" s="49">
        <v>5.9739999999999993</v>
      </c>
      <c r="Q89" s="49">
        <v>1.3746</v>
      </c>
      <c r="R89" s="49">
        <v>1.073</v>
      </c>
    </row>
    <row r="90" spans="1:18" s="49" customFormat="1">
      <c r="A90" s="49" t="s">
        <v>274</v>
      </c>
      <c r="B90" s="49" t="s">
        <v>235</v>
      </c>
      <c r="D90" s="50">
        <v>9214.4814900000001</v>
      </c>
      <c r="E90" s="50">
        <v>19254.736800000002</v>
      </c>
      <c r="F90" s="49">
        <v>25.935000000000002</v>
      </c>
      <c r="G90" s="50">
        <v>78700.948799999998</v>
      </c>
      <c r="H90" s="49">
        <v>10864.199999999999</v>
      </c>
      <c r="I90" s="49">
        <v>1567.5</v>
      </c>
      <c r="J90" s="49">
        <v>1763.66607</v>
      </c>
      <c r="K90" s="49">
        <v>260.49</v>
      </c>
      <c r="L90" s="49">
        <v>583.11</v>
      </c>
      <c r="M90" s="49">
        <v>558.03</v>
      </c>
      <c r="N90" s="49">
        <v>62.528999999999996</v>
      </c>
      <c r="O90" s="49">
        <v>14.25</v>
      </c>
      <c r="P90" s="49">
        <v>2.6219999999999999</v>
      </c>
      <c r="Q90" s="49">
        <v>0.59279999999999999</v>
      </c>
      <c r="R90" s="49">
        <v>0.25650000000000001</v>
      </c>
    </row>
    <row r="91" spans="1:18" s="49" customFormat="1">
      <c r="A91" s="49" t="s">
        <v>274</v>
      </c>
      <c r="B91" s="49" t="s">
        <v>236</v>
      </c>
      <c r="D91" s="50">
        <v>8758.5973999999987</v>
      </c>
      <c r="E91" s="50">
        <v>17784.748800000001</v>
      </c>
      <c r="F91" s="49">
        <v>25.635999999999999</v>
      </c>
      <c r="G91" s="50">
        <v>79365.668799999999</v>
      </c>
      <c r="H91" s="49">
        <v>11234.599999999999</v>
      </c>
      <c r="I91" s="49">
        <v>1705.1999999999998</v>
      </c>
      <c r="J91" s="49">
        <v>1828.3508199999999</v>
      </c>
      <c r="K91" s="49">
        <v>239.54</v>
      </c>
      <c r="L91" s="49">
        <v>616.54000000000008</v>
      </c>
      <c r="M91" s="49">
        <v>522</v>
      </c>
      <c r="N91" s="49">
        <v>64.496000000000009</v>
      </c>
      <c r="O91" s="49">
        <v>21.169999999999998</v>
      </c>
      <c r="P91" s="49">
        <v>2.3199999999999998</v>
      </c>
      <c r="Q91" s="49">
        <v>0.53939999999999999</v>
      </c>
      <c r="R91" s="49">
        <v>0.15079999999999999</v>
      </c>
    </row>
    <row r="92" spans="1:18" s="49" customFormat="1">
      <c r="A92" s="49" t="s">
        <v>274</v>
      </c>
      <c r="B92" s="49" t="s">
        <v>237</v>
      </c>
      <c r="D92" s="50">
        <v>9359.9941799999997</v>
      </c>
      <c r="E92" s="50">
        <v>19167.464160000003</v>
      </c>
      <c r="F92" s="49">
        <v>23.663999999999998</v>
      </c>
      <c r="G92" s="50">
        <v>77713.364799999996</v>
      </c>
      <c r="H92" s="49">
        <v>11089.599999999999</v>
      </c>
      <c r="I92" s="49">
        <v>1618.1999999999998</v>
      </c>
      <c r="J92" s="49">
        <v>1814.5871299999999</v>
      </c>
      <c r="K92" s="49">
        <v>263.89999999999998</v>
      </c>
      <c r="L92" s="49">
        <v>591.02</v>
      </c>
      <c r="M92" s="49">
        <v>514.45999999999992</v>
      </c>
      <c r="N92" s="49">
        <v>65.134</v>
      </c>
      <c r="O92" s="49">
        <v>16.762</v>
      </c>
      <c r="P92" s="49">
        <v>1.5891999999999999</v>
      </c>
      <c r="Q92" s="49">
        <v>0.4698</v>
      </c>
      <c r="R92" s="49">
        <v>0.16239999999999999</v>
      </c>
    </row>
    <row r="93" spans="1:18" s="49" customFormat="1">
      <c r="A93" s="49" t="s">
        <v>274</v>
      </c>
      <c r="B93" s="49" t="s">
        <v>238</v>
      </c>
      <c r="D93" s="50">
        <v>8379.1927199999991</v>
      </c>
      <c r="E93" s="50">
        <v>19973.640960000001</v>
      </c>
      <c r="F93" s="49">
        <v>27.028000000000002</v>
      </c>
      <c r="G93" s="50">
        <v>74573.987200000003</v>
      </c>
      <c r="H93" s="49">
        <v>10045.599999999999</v>
      </c>
      <c r="I93" s="49">
        <v>1444.1999999999998</v>
      </c>
      <c r="J93" s="49">
        <v>1954.4439800000002</v>
      </c>
      <c r="K93" s="49">
        <v>292.32</v>
      </c>
      <c r="L93" s="49">
        <v>573.62</v>
      </c>
      <c r="M93" s="49">
        <v>539.98</v>
      </c>
      <c r="N93" s="49">
        <v>60.725999999999999</v>
      </c>
      <c r="O93" s="49">
        <v>15.66</v>
      </c>
      <c r="P93" s="49">
        <v>1.6646000000000001</v>
      </c>
      <c r="Q93" s="49">
        <v>0.71919999999999995</v>
      </c>
      <c r="R93" s="49">
        <v>0.14499999999999999</v>
      </c>
    </row>
    <row r="94" spans="1:18" s="49" customFormat="1">
      <c r="A94" s="49" t="s">
        <v>274</v>
      </c>
      <c r="B94" s="49" t="s">
        <v>239</v>
      </c>
      <c r="D94" s="50">
        <v>6466.0244399999983</v>
      </c>
      <c r="E94" s="50">
        <v>18175.6224</v>
      </c>
      <c r="F94" s="49">
        <v>23.548000000000002</v>
      </c>
      <c r="G94" s="50">
        <v>74959.524799999999</v>
      </c>
      <c r="H94" s="49">
        <v>10271.799999999999</v>
      </c>
      <c r="I94" s="49">
        <v>1508</v>
      </c>
      <c r="J94" s="49">
        <v>2025.4823799999999</v>
      </c>
      <c r="K94" s="49">
        <v>222.72</v>
      </c>
      <c r="L94" s="49">
        <v>469.21999999999997</v>
      </c>
      <c r="M94" s="49">
        <v>554.48</v>
      </c>
      <c r="N94" s="49">
        <v>62.582000000000001</v>
      </c>
      <c r="O94" s="49">
        <v>20.648</v>
      </c>
      <c r="P94" s="49">
        <v>1.4616</v>
      </c>
      <c r="Q94" s="49">
        <v>0.42920000000000003</v>
      </c>
      <c r="R94" s="49">
        <v>0.12760000000000002</v>
      </c>
    </row>
    <row r="95" spans="1:18" s="49" customFormat="1">
      <c r="A95" s="49" t="s">
        <v>274</v>
      </c>
      <c r="B95" s="49" t="s">
        <v>240</v>
      </c>
      <c r="D95" s="50">
        <v>8036.1140199999991</v>
      </c>
      <c r="E95" s="50">
        <v>20779.817760000002</v>
      </c>
      <c r="F95" s="49">
        <v>22.04</v>
      </c>
      <c r="G95" s="50">
        <v>77162.596799999999</v>
      </c>
      <c r="H95" s="49">
        <v>10382</v>
      </c>
      <c r="I95" s="49">
        <v>1479</v>
      </c>
      <c r="J95" s="49">
        <v>1867.8659299999999</v>
      </c>
      <c r="K95" s="49">
        <v>266.21999999999997</v>
      </c>
      <c r="L95" s="49">
        <v>607.84</v>
      </c>
      <c r="M95" s="49">
        <v>675.7</v>
      </c>
      <c r="N95" s="49">
        <v>62.814</v>
      </c>
      <c r="O95" s="49">
        <v>20.241999999999997</v>
      </c>
      <c r="P95" s="49">
        <v>2.2039999999999997</v>
      </c>
      <c r="Q95" s="49">
        <v>0.54520000000000002</v>
      </c>
      <c r="R95" s="49">
        <v>0.16819999999999999</v>
      </c>
    </row>
    <row r="96" spans="1:18" s="49" customFormat="1">
      <c r="A96" s="49" t="s">
        <v>274</v>
      </c>
      <c r="B96" s="49" t="s">
        <v>241</v>
      </c>
      <c r="D96" s="50">
        <v>6340.9016199999987</v>
      </c>
      <c r="E96" s="50">
        <v>17154.465120000004</v>
      </c>
      <c r="F96" s="49">
        <v>24.417999999999999</v>
      </c>
      <c r="G96" s="50">
        <v>78649.670400000003</v>
      </c>
      <c r="H96" s="49">
        <v>10805.400000000001</v>
      </c>
      <c r="I96" s="49">
        <v>1629.8000000000002</v>
      </c>
      <c r="J96" s="49">
        <v>2021.4864700000001</v>
      </c>
      <c r="K96" s="49">
        <v>207.06</v>
      </c>
      <c r="L96" s="49">
        <v>550.41999999999996</v>
      </c>
      <c r="M96" s="49">
        <v>675.12</v>
      </c>
      <c r="N96" s="49">
        <v>65.192000000000007</v>
      </c>
      <c r="O96" s="49">
        <v>16.182000000000002</v>
      </c>
      <c r="P96" s="49">
        <v>1.6240000000000001</v>
      </c>
      <c r="Q96" s="49">
        <v>0.51040000000000008</v>
      </c>
      <c r="R96" s="49">
        <v>0.11600000000000001</v>
      </c>
    </row>
    <row r="97" spans="1:18" s="49" customFormat="1">
      <c r="A97" s="49" t="s">
        <v>274</v>
      </c>
      <c r="B97" s="49" t="s">
        <v>242</v>
      </c>
      <c r="D97" s="50">
        <v>8901.1177200000002</v>
      </c>
      <c r="E97" s="50">
        <v>19341.167040000004</v>
      </c>
      <c r="F97" s="49">
        <v>24.852</v>
      </c>
      <c r="G97" s="50">
        <v>73612.991999999998</v>
      </c>
      <c r="H97" s="49">
        <v>10043.4</v>
      </c>
      <c r="I97" s="49">
        <v>1464.8999999999999</v>
      </c>
      <c r="J97" s="49">
        <v>1708.2515249999997</v>
      </c>
      <c r="K97" s="49">
        <v>250.8</v>
      </c>
      <c r="L97" s="49">
        <v>528.95999999999992</v>
      </c>
      <c r="M97" s="49">
        <v>513</v>
      </c>
      <c r="N97" s="49">
        <v>57.854999999999997</v>
      </c>
      <c r="O97" s="49">
        <v>17.327999999999999</v>
      </c>
      <c r="P97" s="49">
        <v>1.1286</v>
      </c>
      <c r="Q97" s="49">
        <v>0.49020000000000002</v>
      </c>
      <c r="R97" s="49">
        <v>0.1026</v>
      </c>
    </row>
    <row r="98" spans="1:18" s="49" customFormat="1">
      <c r="A98" s="49" t="s">
        <v>274</v>
      </c>
      <c r="B98" s="49" t="s">
        <v>243</v>
      </c>
      <c r="D98" s="50">
        <v>8593.1123800000005</v>
      </c>
      <c r="E98" s="50">
        <v>19196.77968</v>
      </c>
      <c r="F98" s="49">
        <v>25.056000000000001</v>
      </c>
      <c r="G98" s="50">
        <v>73913.065600000002</v>
      </c>
      <c r="H98" s="49">
        <v>10150</v>
      </c>
      <c r="I98" s="49">
        <v>1490.6</v>
      </c>
      <c r="J98" s="49">
        <v>1837.2306199999998</v>
      </c>
      <c r="K98" s="49">
        <v>282.45999999999998</v>
      </c>
      <c r="L98" s="49">
        <v>611.31999999999994</v>
      </c>
      <c r="M98" s="49">
        <v>560.86</v>
      </c>
      <c r="N98" s="49">
        <v>62.001999999999995</v>
      </c>
      <c r="O98" s="49">
        <v>17.457999999999998</v>
      </c>
      <c r="P98" s="49">
        <v>1.5022</v>
      </c>
      <c r="Q98" s="49">
        <v>0.57999999999999996</v>
      </c>
      <c r="R98" s="49">
        <v>9.4539999999999999E-2</v>
      </c>
    </row>
    <row r="99" spans="1:18" s="49" customFormat="1">
      <c r="A99" s="49" t="s">
        <v>274</v>
      </c>
      <c r="B99" s="49" t="s">
        <v>244</v>
      </c>
      <c r="D99" s="50">
        <v>8885.2511999999988</v>
      </c>
      <c r="E99" s="50">
        <v>17996.696640000002</v>
      </c>
      <c r="F99" s="49">
        <v>24.053999999999998</v>
      </c>
      <c r="G99" s="50">
        <v>77618.404800000004</v>
      </c>
      <c r="H99" s="49">
        <v>10824.300000000001</v>
      </c>
      <c r="I99" s="49">
        <v>1521.8999999999999</v>
      </c>
      <c r="J99" s="49">
        <v>1807.2995699999999</v>
      </c>
      <c r="K99" s="49">
        <v>278.15999999999997</v>
      </c>
      <c r="L99" s="49">
        <v>608.76</v>
      </c>
      <c r="M99" s="49">
        <v>516.42000000000007</v>
      </c>
      <c r="N99" s="49">
        <v>60.192</v>
      </c>
      <c r="O99" s="49">
        <v>33.629999999999995</v>
      </c>
      <c r="P99" s="49">
        <v>1.1172</v>
      </c>
      <c r="Q99" s="49">
        <v>0.43319999999999997</v>
      </c>
      <c r="R99" s="49">
        <v>0.13109999999999999</v>
      </c>
    </row>
    <row r="100" spans="1:18" s="49" customFormat="1">
      <c r="A100" s="49" t="s">
        <v>274</v>
      </c>
      <c r="B100" s="49" t="s">
        <v>245</v>
      </c>
      <c r="D100" s="50">
        <v>9081.494999999999</v>
      </c>
      <c r="E100" s="50">
        <v>18014.387039999998</v>
      </c>
      <c r="F100" s="49">
        <v>23.026</v>
      </c>
      <c r="G100" s="50">
        <v>78539.516799999998</v>
      </c>
      <c r="H100" s="49">
        <v>11408.599999999999</v>
      </c>
      <c r="I100" s="49">
        <v>1653</v>
      </c>
      <c r="J100" s="49">
        <v>2057.89365</v>
      </c>
      <c r="K100" s="49">
        <v>229.68</v>
      </c>
      <c r="L100" s="49">
        <v>497.64</v>
      </c>
      <c r="M100" s="49">
        <v>546.93999999999994</v>
      </c>
      <c r="N100" s="49">
        <v>67.28</v>
      </c>
      <c r="O100" s="49">
        <v>14.558</v>
      </c>
      <c r="P100" s="49">
        <v>5.22</v>
      </c>
      <c r="Q100" s="49">
        <v>0.52199999999999991</v>
      </c>
      <c r="R100" s="49">
        <v>0.16819999999999999</v>
      </c>
    </row>
    <row r="101" spans="1:18" s="49" customFormat="1">
      <c r="A101" s="49" t="s">
        <v>274</v>
      </c>
      <c r="B101" s="49" t="s">
        <v>246</v>
      </c>
      <c r="D101" s="50">
        <v>11652.149599999999</v>
      </c>
      <c r="E101" s="50">
        <v>24106.118399999999</v>
      </c>
      <c r="F101" s="49">
        <v>27.103999999999999</v>
      </c>
      <c r="G101" s="50">
        <v>77639.296000000002</v>
      </c>
      <c r="H101" s="49">
        <v>10925.6</v>
      </c>
      <c r="I101" s="49">
        <v>1629.6000000000001</v>
      </c>
      <c r="J101" s="49">
        <v>1916.1996000000001</v>
      </c>
      <c r="K101" s="49">
        <v>220.08</v>
      </c>
      <c r="L101" s="49">
        <v>468.71999999999997</v>
      </c>
      <c r="M101" s="49">
        <v>946.39999999999986</v>
      </c>
      <c r="N101" s="49">
        <v>67.2</v>
      </c>
      <c r="O101" s="49">
        <v>20.439999999999998</v>
      </c>
      <c r="P101" s="49">
        <v>1.792</v>
      </c>
      <c r="Q101" s="49">
        <v>0.49840000000000001</v>
      </c>
      <c r="R101" s="49">
        <v>6.1600000000000002E-2</v>
      </c>
    </row>
    <row r="102" spans="1:18" s="49" customFormat="1">
      <c r="A102" s="49" t="s">
        <v>274</v>
      </c>
      <c r="B102" s="49" t="s">
        <v>247</v>
      </c>
      <c r="D102" s="50">
        <v>9642.8775299999979</v>
      </c>
      <c r="E102" s="50">
        <v>18688.138559999999</v>
      </c>
      <c r="F102" s="49">
        <v>21.888000000000002</v>
      </c>
      <c r="G102" s="50">
        <v>77077.132800000007</v>
      </c>
      <c r="H102" s="49">
        <v>10790.1</v>
      </c>
      <c r="I102" s="49">
        <v>1573.2</v>
      </c>
      <c r="J102" s="49">
        <v>1860.53244</v>
      </c>
      <c r="K102" s="49">
        <v>226.85999999999999</v>
      </c>
      <c r="L102" s="49">
        <v>479.37</v>
      </c>
      <c r="M102" s="49">
        <v>643.53</v>
      </c>
      <c r="N102" s="49">
        <v>58.994999999999997</v>
      </c>
      <c r="O102" s="49">
        <v>18.696000000000002</v>
      </c>
      <c r="P102" s="49">
        <v>1.7669999999999999</v>
      </c>
      <c r="Q102" s="49">
        <v>0.35339999999999999</v>
      </c>
      <c r="R102" s="49">
        <v>0.10829999999999999</v>
      </c>
    </row>
    <row r="103" spans="1:18" s="49" customFormat="1">
      <c r="A103" s="49" t="s">
        <v>274</v>
      </c>
      <c r="B103" s="49" t="s">
        <v>248</v>
      </c>
      <c r="D103" s="50">
        <v>10615.536959999998</v>
      </c>
      <c r="E103" s="50">
        <v>26228.966400000001</v>
      </c>
      <c r="F103" s="49">
        <v>22.008000000000003</v>
      </c>
      <c r="G103" s="50">
        <v>79394.156799999997</v>
      </c>
      <c r="H103" s="49">
        <v>11295.199999999999</v>
      </c>
      <c r="I103" s="49">
        <v>1674.3999999999999</v>
      </c>
      <c r="J103" s="49">
        <v>2151.9736000000003</v>
      </c>
      <c r="K103" s="49">
        <v>257.59999999999997</v>
      </c>
      <c r="L103" s="49">
        <v>558.32000000000005</v>
      </c>
      <c r="M103" s="49">
        <v>868</v>
      </c>
      <c r="N103" s="49">
        <v>69.775999999999996</v>
      </c>
      <c r="O103" s="49">
        <v>22.176000000000002</v>
      </c>
      <c r="P103" s="49">
        <v>2.2960000000000003</v>
      </c>
      <c r="Q103" s="49">
        <v>0.53200000000000003</v>
      </c>
      <c r="R103" s="49">
        <v>0.15679999999999999</v>
      </c>
    </row>
    <row r="104" spans="1:18" s="49" customFormat="1">
      <c r="A104" s="49" t="s">
        <v>274</v>
      </c>
      <c r="B104" s="49" t="s">
        <v>249</v>
      </c>
      <c r="D104" s="50">
        <v>10651.584579999999</v>
      </c>
      <c r="E104" s="50">
        <v>22230.936000000002</v>
      </c>
      <c r="F104" s="49">
        <v>20.125999999999998</v>
      </c>
      <c r="G104" s="50">
        <v>72756.452799999999</v>
      </c>
      <c r="H104" s="49">
        <v>10324</v>
      </c>
      <c r="I104" s="49">
        <v>1479</v>
      </c>
      <c r="J104" s="49">
        <v>1726.2331199999999</v>
      </c>
      <c r="K104" s="49">
        <v>255.20000000000002</v>
      </c>
      <c r="L104" s="49">
        <v>541.14</v>
      </c>
      <c r="M104" s="49">
        <v>738.34</v>
      </c>
      <c r="N104" s="49">
        <v>64.322000000000003</v>
      </c>
      <c r="O104" s="49">
        <v>10.324</v>
      </c>
      <c r="P104" s="49">
        <v>1.1832</v>
      </c>
      <c r="Q104" s="49">
        <v>0.22619999999999998</v>
      </c>
      <c r="R104" s="49">
        <v>7.5399999999999995E-2</v>
      </c>
    </row>
    <row r="105" spans="1:18" s="49" customFormat="1">
      <c r="A105" s="49" t="s">
        <v>274</v>
      </c>
      <c r="B105" s="49" t="s">
        <v>250</v>
      </c>
      <c r="D105" s="50">
        <v>8015.9329199999993</v>
      </c>
      <c r="E105" s="50">
        <v>18468.777600000001</v>
      </c>
      <c r="F105" s="49">
        <v>19.488</v>
      </c>
      <c r="G105" s="50">
        <v>79585.975999999995</v>
      </c>
      <c r="H105" s="49">
        <v>10724.2</v>
      </c>
      <c r="I105" s="49">
        <v>1589.1999999999998</v>
      </c>
      <c r="J105" s="49">
        <v>2147.13564</v>
      </c>
      <c r="K105" s="49">
        <v>261.58</v>
      </c>
      <c r="L105" s="49">
        <v>553.90000000000009</v>
      </c>
      <c r="M105" s="49">
        <v>636.26</v>
      </c>
      <c r="N105" s="49">
        <v>64.322000000000003</v>
      </c>
      <c r="O105" s="49">
        <v>12.528</v>
      </c>
      <c r="P105" s="49">
        <v>1.8560000000000001</v>
      </c>
      <c r="Q105" s="49">
        <v>0.3886</v>
      </c>
      <c r="R105" s="49">
        <v>0.10672000000000001</v>
      </c>
    </row>
    <row r="106" spans="1:18" s="49" customFormat="1">
      <c r="A106" s="49" t="s">
        <v>274</v>
      </c>
      <c r="B106" s="49" t="s">
        <v>251</v>
      </c>
      <c r="D106" s="50">
        <v>9174.8151899999993</v>
      </c>
      <c r="E106" s="50">
        <v>24536.584800000001</v>
      </c>
      <c r="F106" s="49">
        <v>23.939999999999998</v>
      </c>
      <c r="G106" s="50">
        <v>79566.983999999997</v>
      </c>
      <c r="H106" s="49">
        <v>10562.1</v>
      </c>
      <c r="I106" s="49">
        <v>1531.5900000000001</v>
      </c>
      <c r="J106" s="49">
        <v>1945.1814299999999</v>
      </c>
      <c r="K106" s="49">
        <v>251.94</v>
      </c>
      <c r="L106" s="49">
        <v>555.75</v>
      </c>
      <c r="M106" s="49">
        <v>794.57999999999993</v>
      </c>
      <c r="N106" s="49">
        <v>64.97999999999999</v>
      </c>
      <c r="O106" s="49">
        <v>14.649000000000001</v>
      </c>
      <c r="P106" s="49">
        <v>1.4307000000000001</v>
      </c>
      <c r="Q106" s="49">
        <v>0.81510000000000005</v>
      </c>
      <c r="R106" s="49">
        <v>9.1200000000000003E-2</v>
      </c>
    </row>
    <row r="107" spans="1:18" s="49" customFormat="1">
      <c r="A107" s="49" t="s">
        <v>274</v>
      </c>
      <c r="B107" s="49" t="s">
        <v>252</v>
      </c>
      <c r="D107" s="50">
        <v>6809.1031399999983</v>
      </c>
      <c r="E107" s="50">
        <v>18058.360320000003</v>
      </c>
      <c r="F107" s="49">
        <v>22.155999999999999</v>
      </c>
      <c r="G107" s="50">
        <v>77933.672000000006</v>
      </c>
      <c r="H107" s="49">
        <v>10474.799999999999</v>
      </c>
      <c r="I107" s="49">
        <v>1515.54</v>
      </c>
      <c r="J107" s="49">
        <v>2024.1504100000002</v>
      </c>
      <c r="K107" s="49">
        <v>225.04</v>
      </c>
      <c r="L107" s="49">
        <v>523.74</v>
      </c>
      <c r="M107" s="49">
        <v>650.76</v>
      </c>
      <c r="N107" s="49">
        <v>56.55</v>
      </c>
      <c r="O107" s="49">
        <v>17.864000000000001</v>
      </c>
      <c r="P107" s="49">
        <v>1.9198</v>
      </c>
      <c r="Q107" s="49">
        <v>0.58579999999999999</v>
      </c>
      <c r="R107" s="49">
        <v>0.12760000000000002</v>
      </c>
    </row>
    <row r="108" spans="1:18" s="49" customFormat="1">
      <c r="A108" s="49" t="s">
        <v>274</v>
      </c>
      <c r="B108" s="49" t="s">
        <v>253</v>
      </c>
      <c r="D108" s="50">
        <v>7758.7282799999984</v>
      </c>
      <c r="E108" s="50">
        <v>19965.385440000002</v>
      </c>
      <c r="F108" s="49">
        <v>22.173000000000002</v>
      </c>
      <c r="G108" s="50">
        <v>85575.103199999998</v>
      </c>
      <c r="H108" s="49">
        <v>11622.300000000001</v>
      </c>
      <c r="I108" s="49">
        <v>1727.1000000000001</v>
      </c>
      <c r="J108" s="49">
        <v>2207.8551000000002</v>
      </c>
      <c r="K108" s="49">
        <v>243.39</v>
      </c>
      <c r="L108" s="49">
        <v>574.56000000000006</v>
      </c>
      <c r="M108" s="49">
        <v>615.03</v>
      </c>
      <c r="N108" s="49">
        <v>67.602000000000004</v>
      </c>
      <c r="O108" s="49">
        <v>16.131</v>
      </c>
      <c r="P108" s="49">
        <v>2.1659999999999999</v>
      </c>
      <c r="Q108" s="49">
        <v>0.68400000000000005</v>
      </c>
      <c r="R108" s="49">
        <v>0.14250000000000002</v>
      </c>
    </row>
    <row r="109" spans="1:18" s="49" customFormat="1">
      <c r="A109" s="49" t="s">
        <v>274</v>
      </c>
      <c r="B109" s="49" t="s">
        <v>254</v>
      </c>
      <c r="D109" s="50">
        <v>9836.2681399999983</v>
      </c>
      <c r="E109" s="50">
        <v>20325.427200000002</v>
      </c>
      <c r="F109" s="49">
        <v>22.446000000000002</v>
      </c>
      <c r="G109" s="50">
        <v>74518.910399999993</v>
      </c>
      <c r="H109" s="49">
        <v>10063</v>
      </c>
      <c r="I109" s="49">
        <v>1483.06</v>
      </c>
      <c r="J109" s="49">
        <v>1753.7604999999999</v>
      </c>
      <c r="K109" s="49">
        <v>258.68</v>
      </c>
      <c r="L109" s="49">
        <v>556.79999999999995</v>
      </c>
      <c r="M109" s="49">
        <v>572.45999999999992</v>
      </c>
      <c r="N109" s="49">
        <v>63.104000000000006</v>
      </c>
      <c r="O109" s="49">
        <v>13.572000000000001</v>
      </c>
      <c r="P109" s="49">
        <v>1.5775999999999999</v>
      </c>
      <c r="Q109" s="49">
        <v>0.55679999999999996</v>
      </c>
      <c r="R109" s="49">
        <v>0.13919999999999999</v>
      </c>
    </row>
    <row r="110" spans="1:18" s="49" customFormat="1">
      <c r="A110" s="49" t="s">
        <v>274</v>
      </c>
      <c r="B110" s="49" t="s">
        <v>255</v>
      </c>
      <c r="D110" s="50">
        <v>9749.9765399999997</v>
      </c>
      <c r="E110" s="50">
        <v>26457.256800000003</v>
      </c>
      <c r="F110" s="49">
        <v>21.489000000000001</v>
      </c>
      <c r="G110" s="50">
        <v>75020.299199999994</v>
      </c>
      <c r="H110" s="49">
        <v>10185.9</v>
      </c>
      <c r="I110" s="49">
        <v>1544.7</v>
      </c>
      <c r="J110" s="49">
        <v>2008.4500049999999</v>
      </c>
      <c r="K110" s="49">
        <v>265.62</v>
      </c>
      <c r="L110" s="49">
        <v>558.03</v>
      </c>
      <c r="M110" s="49">
        <v>1202.7</v>
      </c>
      <c r="N110" s="49">
        <v>66.347999999999999</v>
      </c>
      <c r="O110" s="49">
        <v>17.157</v>
      </c>
      <c r="P110" s="49">
        <v>2.3541000000000003</v>
      </c>
      <c r="Q110" s="49">
        <v>0.67259999999999998</v>
      </c>
      <c r="R110" s="49">
        <v>9.5189999999999997E-2</v>
      </c>
    </row>
    <row r="111" spans="1:18" s="49" customFormat="1">
      <c r="A111" s="49" t="s">
        <v>274</v>
      </c>
      <c r="B111" s="49" t="s">
        <v>256</v>
      </c>
      <c r="D111" s="50">
        <v>3465.5819999999999</v>
      </c>
      <c r="E111" s="50">
        <v>8284.1616000000013</v>
      </c>
      <c r="F111" s="49">
        <v>21.18</v>
      </c>
      <c r="G111" s="50">
        <v>72074.64</v>
      </c>
      <c r="H111" s="49">
        <v>10068</v>
      </c>
      <c r="I111" s="49">
        <v>1536</v>
      </c>
      <c r="J111" s="49">
        <v>2030.106</v>
      </c>
      <c r="K111" s="49">
        <v>148.07999999999998</v>
      </c>
      <c r="L111" s="49">
        <v>522</v>
      </c>
      <c r="M111" s="49">
        <v>700.8</v>
      </c>
      <c r="N111" s="49">
        <v>52.5</v>
      </c>
      <c r="O111" s="49">
        <v>11.22</v>
      </c>
      <c r="P111" s="49">
        <v>1.1640000000000001</v>
      </c>
      <c r="Q111" s="49">
        <v>0.47400000000000003</v>
      </c>
      <c r="R111" s="49">
        <v>0.114</v>
      </c>
    </row>
    <row r="112" spans="1:18" s="49" customFormat="1">
      <c r="A112" s="49" t="s">
        <v>274</v>
      </c>
      <c r="B112" s="49" t="s">
        <v>257</v>
      </c>
      <c r="D112" s="50">
        <v>5010.4799999999996</v>
      </c>
      <c r="E112" s="50">
        <v>13515.4656</v>
      </c>
      <c r="F112" s="49">
        <v>18.96</v>
      </c>
      <c r="G112" s="50">
        <v>71732.784</v>
      </c>
      <c r="H112" s="49">
        <v>10032</v>
      </c>
      <c r="I112" s="49">
        <v>1482</v>
      </c>
      <c r="J112" s="49">
        <v>1972.6934999999999</v>
      </c>
      <c r="K112" s="49">
        <v>231.6</v>
      </c>
      <c r="L112" s="49">
        <v>573</v>
      </c>
      <c r="M112" s="49">
        <v>811.8</v>
      </c>
      <c r="N112" s="49">
        <v>63.66</v>
      </c>
      <c r="O112" s="49">
        <v>18.3</v>
      </c>
      <c r="P112" s="49">
        <v>1.6199999999999999</v>
      </c>
      <c r="Q112" s="49">
        <v>0.51600000000000001</v>
      </c>
      <c r="R112" s="49">
        <v>6.9599999999999995E-2</v>
      </c>
    </row>
    <row r="113" spans="1:18" s="49" customFormat="1">
      <c r="A113" s="49" t="s">
        <v>274</v>
      </c>
      <c r="B113" s="49" t="s">
        <v>258</v>
      </c>
      <c r="D113" s="50">
        <v>8385.455820000001</v>
      </c>
      <c r="E113" s="50">
        <v>19490.019120000001</v>
      </c>
      <c r="F113" s="49">
        <v>20.805</v>
      </c>
      <c r="G113" s="50">
        <v>76102.843200000003</v>
      </c>
      <c r="H113" s="49">
        <v>9861</v>
      </c>
      <c r="I113" s="49">
        <v>1476.3</v>
      </c>
      <c r="J113" s="49">
        <v>1878.4221749999999</v>
      </c>
      <c r="K113" s="49">
        <v>236.55</v>
      </c>
      <c r="L113" s="49">
        <v>506.73</v>
      </c>
      <c r="M113" s="49">
        <v>702.81000000000006</v>
      </c>
      <c r="N113" s="49">
        <v>62.7</v>
      </c>
      <c r="O113" s="49">
        <v>20.349</v>
      </c>
      <c r="P113" s="49">
        <v>1.1114999999999999</v>
      </c>
      <c r="Q113" s="49">
        <v>0.51300000000000001</v>
      </c>
      <c r="R113" s="49">
        <v>0.1653</v>
      </c>
    </row>
    <row r="114" spans="1:18" s="49" customFormat="1">
      <c r="A114" s="49" t="s">
        <v>274</v>
      </c>
      <c r="B114" s="49" t="s">
        <v>259</v>
      </c>
      <c r="D114" s="50">
        <v>8794.0187099999985</v>
      </c>
      <c r="E114" s="50">
        <v>20738.45592</v>
      </c>
      <c r="F114" s="49">
        <v>23.198999999999998</v>
      </c>
      <c r="G114" s="50">
        <v>78917.457599999994</v>
      </c>
      <c r="H114" s="49">
        <v>10123.199999999999</v>
      </c>
      <c r="I114" s="49">
        <v>1499.1000000000001</v>
      </c>
      <c r="J114" s="49">
        <v>2016.7403699999998</v>
      </c>
      <c r="K114" s="49">
        <v>263.90999999999997</v>
      </c>
      <c r="L114" s="49">
        <v>551.18999999999994</v>
      </c>
      <c r="M114" s="49">
        <v>652.65</v>
      </c>
      <c r="N114" s="49">
        <v>60.534000000000006</v>
      </c>
      <c r="O114" s="49">
        <v>17.157</v>
      </c>
      <c r="P114" s="49">
        <v>1.4363999999999999</v>
      </c>
      <c r="Q114" s="49">
        <v>0.43319999999999997</v>
      </c>
      <c r="R114" s="49">
        <v>0.1482</v>
      </c>
    </row>
    <row r="115" spans="1:18" s="49" customFormat="1">
      <c r="A115" s="49" t="s">
        <v>274</v>
      </c>
      <c r="B115" s="49" t="s">
        <v>260</v>
      </c>
      <c r="D115" s="50">
        <v>9995.9075999999986</v>
      </c>
      <c r="E115" s="50">
        <v>20637.620640000001</v>
      </c>
      <c r="F115" s="49">
        <v>19.607999999999997</v>
      </c>
      <c r="G115" s="50">
        <v>80000.001600000003</v>
      </c>
      <c r="H115" s="49">
        <v>11257.5</v>
      </c>
      <c r="I115" s="49">
        <v>1590.3</v>
      </c>
      <c r="J115" s="49">
        <v>2290.75875</v>
      </c>
      <c r="K115" s="49">
        <v>241.11</v>
      </c>
      <c r="L115" s="49">
        <v>474.81</v>
      </c>
      <c r="M115" s="49">
        <v>637.26</v>
      </c>
      <c r="N115" s="49">
        <v>65.721000000000004</v>
      </c>
      <c r="O115" s="49">
        <v>12.026999999999999</v>
      </c>
      <c r="P115" s="49">
        <v>2.6789999999999998</v>
      </c>
      <c r="Q115" s="49">
        <v>0.35339999999999999</v>
      </c>
      <c r="R115" s="49">
        <v>0.13679999999999998</v>
      </c>
    </row>
    <row r="116" spans="1:18" s="49" customFormat="1">
      <c r="A116" s="49" t="s">
        <v>274</v>
      </c>
      <c r="B116" s="49" t="s">
        <v>261</v>
      </c>
      <c r="D116" s="50">
        <v>8512.3879799999995</v>
      </c>
      <c r="E116" s="50">
        <v>20114.237519999999</v>
      </c>
      <c r="F116" s="49">
        <v>22.914000000000001</v>
      </c>
      <c r="G116" s="50">
        <v>80866.036800000002</v>
      </c>
      <c r="H116" s="49">
        <v>11154.9</v>
      </c>
      <c r="I116" s="49">
        <v>1624.5</v>
      </c>
      <c r="J116" s="49">
        <v>2199.1283999999996</v>
      </c>
      <c r="K116" s="49">
        <v>241.11</v>
      </c>
      <c r="L116" s="49">
        <v>513</v>
      </c>
      <c r="M116" s="49">
        <v>695.97</v>
      </c>
      <c r="N116" s="49">
        <v>65.435999999999993</v>
      </c>
      <c r="O116" s="49">
        <v>19.779</v>
      </c>
      <c r="P116" s="49">
        <v>1.8126000000000002</v>
      </c>
      <c r="Q116" s="49">
        <v>0.4446</v>
      </c>
      <c r="R116" s="49">
        <v>0.12540000000000001</v>
      </c>
    </row>
    <row r="117" spans="1:18" s="49" customFormat="1">
      <c r="A117" s="49" t="s">
        <v>274</v>
      </c>
      <c r="B117" s="49" t="s">
        <v>262</v>
      </c>
      <c r="D117" s="50">
        <v>9984.0077099999999</v>
      </c>
      <c r="E117" s="50">
        <v>21199.4172</v>
      </c>
      <c r="F117" s="49">
        <v>21.603000000000002</v>
      </c>
      <c r="G117" s="50">
        <v>81244.927200000006</v>
      </c>
      <c r="H117" s="49">
        <v>11251.800000000001</v>
      </c>
      <c r="I117" s="49">
        <v>1624.5</v>
      </c>
      <c r="J117" s="49">
        <v>2151.1315499999996</v>
      </c>
      <c r="K117" s="49">
        <v>238.26</v>
      </c>
      <c r="L117" s="49">
        <v>484.5</v>
      </c>
      <c r="M117" s="49">
        <v>765.51</v>
      </c>
      <c r="N117" s="49">
        <v>68.97</v>
      </c>
      <c r="O117" s="49">
        <v>20.861999999999998</v>
      </c>
      <c r="P117" s="49">
        <v>1.71</v>
      </c>
      <c r="Q117" s="49">
        <v>0.42749999999999999</v>
      </c>
      <c r="R117" s="49">
        <v>0.18240000000000001</v>
      </c>
    </row>
    <row r="118" spans="1:18" s="49" customFormat="1">
      <c r="A118" s="49" t="s">
        <v>274</v>
      </c>
      <c r="B118" s="49" t="s">
        <v>263</v>
      </c>
      <c r="D118" s="50">
        <v>10288.185599999999</v>
      </c>
      <c r="E118" s="50">
        <v>21417.177600000003</v>
      </c>
      <c r="F118" s="49">
        <v>19.991999999999997</v>
      </c>
      <c r="G118" s="50">
        <v>88912.947199999995</v>
      </c>
      <c r="H118" s="49">
        <v>12224.800000000001</v>
      </c>
      <c r="I118" s="49">
        <v>1780.8</v>
      </c>
      <c r="J118" s="49">
        <v>2293.4380000000001</v>
      </c>
      <c r="K118" s="49">
        <v>236.88000000000002</v>
      </c>
      <c r="L118" s="49">
        <v>554.4</v>
      </c>
      <c r="M118" s="49">
        <v>635.6</v>
      </c>
      <c r="N118" s="49">
        <v>66.08</v>
      </c>
      <c r="O118" s="49">
        <v>19.431999999999999</v>
      </c>
      <c r="P118" s="49">
        <v>1.736</v>
      </c>
      <c r="Q118" s="49">
        <v>0.67200000000000004</v>
      </c>
      <c r="R118" s="49">
        <v>7.8399999999999997E-2</v>
      </c>
    </row>
    <row r="119" spans="1:18" s="49" customFormat="1">
      <c r="A119" s="49" t="s">
        <v>274</v>
      </c>
      <c r="B119" s="49" t="s">
        <v>264</v>
      </c>
      <c r="D119" s="50">
        <v>8871.6115600000012</v>
      </c>
      <c r="E119" s="50">
        <v>21234.208320000005</v>
      </c>
      <c r="F119" s="49">
        <v>21.576000000000001</v>
      </c>
      <c r="G119" s="50">
        <v>76942.289600000004</v>
      </c>
      <c r="H119" s="49">
        <v>10515.400000000001</v>
      </c>
      <c r="I119" s="49">
        <v>1583.4</v>
      </c>
      <c r="J119" s="49">
        <v>1966.8756999999996</v>
      </c>
      <c r="K119" s="49">
        <v>262.15999999999997</v>
      </c>
      <c r="L119" s="49">
        <v>607.26</v>
      </c>
      <c r="M119" s="49">
        <v>627.56000000000006</v>
      </c>
      <c r="N119" s="49">
        <v>68.034000000000006</v>
      </c>
      <c r="O119" s="49">
        <v>14.558</v>
      </c>
      <c r="P119" s="49">
        <v>2.262</v>
      </c>
      <c r="Q119" s="49">
        <v>0.41759999999999997</v>
      </c>
      <c r="R119" s="49">
        <v>0.13919999999999999</v>
      </c>
    </row>
    <row r="120" spans="1:18" s="49" customFormat="1">
      <c r="A120" s="49" t="s">
        <v>274</v>
      </c>
      <c r="B120" s="49" t="s">
        <v>265</v>
      </c>
      <c r="D120" s="50">
        <v>9319.6319800000001</v>
      </c>
      <c r="E120" s="50">
        <v>20408.487839999998</v>
      </c>
      <c r="F120" s="49">
        <v>22.330000000000002</v>
      </c>
      <c r="G120" s="50">
        <v>76116.137600000002</v>
      </c>
      <c r="H120" s="49">
        <v>10132.599999999999</v>
      </c>
      <c r="I120" s="49">
        <v>1542.8000000000002</v>
      </c>
      <c r="J120" s="49">
        <v>1861.2060799999999</v>
      </c>
      <c r="K120" s="49">
        <v>276.08</v>
      </c>
      <c r="L120" s="49">
        <v>587.54000000000008</v>
      </c>
      <c r="M120" s="49">
        <v>651.91999999999996</v>
      </c>
      <c r="N120" s="49">
        <v>67.222000000000008</v>
      </c>
      <c r="O120" s="49">
        <v>14.616</v>
      </c>
      <c r="P120" s="49">
        <v>1.6414</v>
      </c>
      <c r="Q120" s="49">
        <v>0.41759999999999997</v>
      </c>
      <c r="R120" s="49">
        <v>0.13919999999999999</v>
      </c>
    </row>
    <row r="121" spans="1:18" s="49" customFormat="1">
      <c r="A121" s="49" t="s">
        <v>274</v>
      </c>
      <c r="B121" s="49" t="s">
        <v>266</v>
      </c>
      <c r="D121" s="50">
        <v>8992.6981599999999</v>
      </c>
      <c r="E121" s="50">
        <v>20667.441600000002</v>
      </c>
      <c r="F121" s="49">
        <v>24.823999999999998</v>
      </c>
      <c r="G121" s="50">
        <v>76556.751999999993</v>
      </c>
      <c r="H121" s="49">
        <v>10150</v>
      </c>
      <c r="I121" s="49">
        <v>1508</v>
      </c>
      <c r="J121" s="49">
        <v>1949.1160999999997</v>
      </c>
      <c r="K121" s="49">
        <v>302.76</v>
      </c>
      <c r="L121" s="49">
        <v>604.36</v>
      </c>
      <c r="M121" s="49">
        <v>631.62</v>
      </c>
      <c r="N121" s="49">
        <v>71.34</v>
      </c>
      <c r="O121" s="49">
        <v>18.096</v>
      </c>
      <c r="P121" s="49">
        <v>3.0739999999999998</v>
      </c>
      <c r="Q121" s="49">
        <v>1.1135999999999999</v>
      </c>
      <c r="R121" s="49">
        <v>0.58579999999999999</v>
      </c>
    </row>
    <row r="122" spans="1:18" s="49" customFormat="1">
      <c r="A122" s="49" t="s">
        <v>274</v>
      </c>
      <c r="B122" s="49" t="s">
        <v>267</v>
      </c>
      <c r="D122" s="50">
        <v>8540.1543899999997</v>
      </c>
      <c r="E122" s="50">
        <v>18918.619200000001</v>
      </c>
      <c r="F122" s="49">
        <v>21.945</v>
      </c>
      <c r="G122" s="50">
        <v>76373.479200000002</v>
      </c>
      <c r="H122" s="49">
        <v>10647.6</v>
      </c>
      <c r="I122" s="49">
        <v>1567.5</v>
      </c>
      <c r="J122" s="49">
        <v>2120.5880999999999</v>
      </c>
      <c r="K122" s="49">
        <v>249.09</v>
      </c>
      <c r="L122" s="49">
        <v>503.88</v>
      </c>
      <c r="M122" s="49">
        <v>554.61</v>
      </c>
      <c r="N122" s="49">
        <v>63.042000000000009</v>
      </c>
      <c r="O122" s="49">
        <v>17.213999999999999</v>
      </c>
      <c r="P122" s="49">
        <v>1.7499</v>
      </c>
      <c r="Q122" s="49">
        <v>0.3705</v>
      </c>
      <c r="R122" s="49">
        <v>0.12540000000000001</v>
      </c>
    </row>
    <row r="123" spans="1:18" s="49" customFormat="1">
      <c r="A123" s="49" t="s">
        <v>274</v>
      </c>
      <c r="B123" s="49" t="s">
        <v>268</v>
      </c>
      <c r="D123" s="50">
        <v>10289.438219999998</v>
      </c>
      <c r="E123" s="50">
        <v>21290.649120000002</v>
      </c>
      <c r="F123" s="49">
        <v>22.686</v>
      </c>
      <c r="G123" s="50">
        <v>75507.444000000003</v>
      </c>
      <c r="H123" s="49">
        <v>10328.4</v>
      </c>
      <c r="I123" s="49">
        <v>1533.3</v>
      </c>
      <c r="J123" s="49">
        <v>1836.0976799999999</v>
      </c>
      <c r="K123" s="49">
        <v>262.77000000000004</v>
      </c>
      <c r="L123" s="49">
        <v>546.63</v>
      </c>
      <c r="M123" s="49">
        <v>721.05000000000007</v>
      </c>
      <c r="N123" s="49">
        <v>68.399999999999991</v>
      </c>
      <c r="O123" s="49">
        <v>27.416999999999998</v>
      </c>
      <c r="P123" s="49">
        <v>2.109</v>
      </c>
      <c r="Q123" s="49">
        <v>1.1400000000000001</v>
      </c>
      <c r="R123" s="49">
        <v>1.026</v>
      </c>
    </row>
    <row r="124" spans="1:18" s="49" customFormat="1">
      <c r="A124" s="49" t="s">
        <v>274</v>
      </c>
      <c r="B124" s="49" t="s">
        <v>269</v>
      </c>
      <c r="D124" s="50">
        <v>9531.811889999999</v>
      </c>
      <c r="E124" s="50">
        <v>19725.301440000003</v>
      </c>
      <c r="F124" s="49">
        <v>24.167999999999999</v>
      </c>
      <c r="G124" s="50">
        <v>74695.535999999993</v>
      </c>
      <c r="H124" s="49">
        <v>10203</v>
      </c>
      <c r="I124" s="49">
        <v>1459.2</v>
      </c>
      <c r="J124" s="49">
        <v>1780.2467999999999</v>
      </c>
      <c r="K124" s="49">
        <v>269.61</v>
      </c>
      <c r="L124" s="49">
        <v>573.99</v>
      </c>
      <c r="M124" s="49">
        <v>658.92000000000007</v>
      </c>
      <c r="N124" s="49">
        <v>70.11</v>
      </c>
      <c r="O124" s="49">
        <v>15.048</v>
      </c>
      <c r="P124" s="49">
        <v>4.1040000000000001</v>
      </c>
      <c r="Q124" s="49">
        <v>0.62129999999999996</v>
      </c>
      <c r="R124" s="49">
        <v>0.37619999999999998</v>
      </c>
    </row>
    <row r="125" spans="1:18" s="49" customFormat="1">
      <c r="A125" s="49" t="s">
        <v>274</v>
      </c>
      <c r="B125" s="49" t="s">
        <v>270</v>
      </c>
      <c r="D125" s="50">
        <v>8363.0478399999993</v>
      </c>
      <c r="E125" s="50">
        <v>19436.189760000001</v>
      </c>
      <c r="F125" s="49">
        <v>22.388000000000002</v>
      </c>
      <c r="G125" s="50">
        <v>76336.444799999997</v>
      </c>
      <c r="H125" s="49">
        <v>10132.599999999999</v>
      </c>
      <c r="I125" s="49">
        <v>1513.8000000000002</v>
      </c>
      <c r="J125" s="49">
        <v>2096.5207799999998</v>
      </c>
      <c r="K125" s="49">
        <v>300.44</v>
      </c>
      <c r="L125" s="49">
        <v>585.22</v>
      </c>
      <c r="M125" s="49">
        <v>620.59999999999991</v>
      </c>
      <c r="N125" s="49">
        <v>58.347999999999999</v>
      </c>
      <c r="O125" s="49">
        <v>18.154</v>
      </c>
      <c r="P125" s="49">
        <v>1.6008</v>
      </c>
      <c r="Q125" s="49">
        <v>0.48139999999999999</v>
      </c>
      <c r="R125" s="49">
        <v>7.3660000000000003E-2</v>
      </c>
    </row>
    <row r="126" spans="1:18" s="49" customFormat="1">
      <c r="A126" s="49" t="s">
        <v>274</v>
      </c>
      <c r="B126" s="49" t="s">
        <v>271</v>
      </c>
      <c r="D126" s="50">
        <v>7475.0794399999986</v>
      </c>
      <c r="E126" s="50">
        <v>19704.915360000003</v>
      </c>
      <c r="F126" s="49">
        <v>20.474</v>
      </c>
      <c r="G126" s="50">
        <v>77548.134399999995</v>
      </c>
      <c r="H126" s="49">
        <v>10306.599999999999</v>
      </c>
      <c r="I126" s="49">
        <v>1577.6</v>
      </c>
      <c r="J126" s="49">
        <v>1926.9165999999998</v>
      </c>
      <c r="K126" s="49">
        <v>281.29999999999995</v>
      </c>
      <c r="L126" s="49">
        <v>607.84</v>
      </c>
      <c r="M126" s="49">
        <v>673.95999999999992</v>
      </c>
      <c r="N126" s="49">
        <v>71.92</v>
      </c>
      <c r="O126" s="49">
        <v>12.992000000000001</v>
      </c>
      <c r="P126" s="49">
        <v>2.0879999999999996</v>
      </c>
      <c r="Q126" s="49">
        <v>0.46400000000000002</v>
      </c>
      <c r="R126" s="49">
        <v>0.28999999999999998</v>
      </c>
    </row>
    <row r="127" spans="1:18" s="49" customFormat="1">
      <c r="A127" s="49" t="s">
        <v>274</v>
      </c>
      <c r="B127" s="49" t="s">
        <v>272</v>
      </c>
      <c r="D127" s="50">
        <v>8944.75065</v>
      </c>
      <c r="E127" s="50">
        <v>21511.526400000002</v>
      </c>
      <c r="F127" s="49">
        <v>28.614000000000001</v>
      </c>
      <c r="G127" s="50">
        <v>80649.528000000006</v>
      </c>
      <c r="H127" s="49">
        <v>10898.4</v>
      </c>
      <c r="I127" s="49">
        <v>1658.7</v>
      </c>
      <c r="J127" s="49">
        <v>1950.4174499999999</v>
      </c>
      <c r="K127" s="49">
        <v>231.99</v>
      </c>
      <c r="L127" s="49">
        <v>580.82999999999993</v>
      </c>
      <c r="M127" s="49">
        <v>860.13</v>
      </c>
      <c r="N127" s="49">
        <v>74.100000000000009</v>
      </c>
      <c r="O127" s="49">
        <v>22.971</v>
      </c>
      <c r="P127" s="49">
        <v>4.2749999999999995</v>
      </c>
      <c r="Q127" s="49">
        <v>1.1172</v>
      </c>
      <c r="R127" s="49">
        <v>0.79800000000000004</v>
      </c>
    </row>
    <row r="128" spans="1:18" s="49" customFormat="1">
      <c r="A128" s="49" t="s">
        <v>274</v>
      </c>
      <c r="B128" s="49" t="s">
        <v>273</v>
      </c>
      <c r="D128" s="50">
        <v>8357.689409999999</v>
      </c>
      <c r="E128" s="50">
        <v>21098.581920000001</v>
      </c>
      <c r="F128" s="49">
        <v>22.8</v>
      </c>
      <c r="G128" s="50">
        <v>86874.156000000003</v>
      </c>
      <c r="H128" s="49">
        <v>11730.6</v>
      </c>
      <c r="I128" s="49">
        <v>1670.1000000000001</v>
      </c>
      <c r="J128" s="49">
        <v>2242.7618999999995</v>
      </c>
      <c r="K128" s="49">
        <v>235.41</v>
      </c>
      <c r="L128" s="49">
        <v>555.75</v>
      </c>
      <c r="M128" s="49">
        <v>748.98</v>
      </c>
      <c r="N128" s="49">
        <v>64.41</v>
      </c>
      <c r="O128" s="49">
        <v>15.561000000000002</v>
      </c>
      <c r="P128" s="49">
        <v>1.4762999999999999</v>
      </c>
      <c r="Q128" s="49">
        <v>0.47310000000000002</v>
      </c>
      <c r="R128" s="49">
        <v>0.2109</v>
      </c>
    </row>
    <row r="129" spans="1:18" s="49" customFormat="1"/>
    <row r="130" spans="1:18" s="49" customFormat="1">
      <c r="A130" s="49" t="s">
        <v>274</v>
      </c>
      <c r="B130" s="49" t="s">
        <v>275</v>
      </c>
      <c r="D130" s="50">
        <f t="shared" ref="D130:L130" si="0">AVERAGE(D5:D128)</f>
        <v>8950.0782134677374</v>
      </c>
      <c r="E130" s="50">
        <f t="shared" si="0"/>
        <v>22008.467670967751</v>
      </c>
      <c r="F130" s="51">
        <f t="shared" si="0"/>
        <v>21.803629032258069</v>
      </c>
      <c r="G130" s="50">
        <f t="shared" si="0"/>
        <v>76434.751374193569</v>
      </c>
      <c r="H130" s="50">
        <f t="shared" si="0"/>
        <v>10596.944354838708</v>
      </c>
      <c r="I130" s="50">
        <f t="shared" si="0"/>
        <v>1569.1247580645163</v>
      </c>
      <c r="J130" s="50">
        <f t="shared" si="0"/>
        <v>1906.1937124596782</v>
      </c>
      <c r="K130" s="50">
        <f t="shared" si="0"/>
        <v>253.76677419354843</v>
      </c>
      <c r="L130" s="50">
        <f t="shared" si="0"/>
        <v>556.84604838709697</v>
      </c>
      <c r="M130" s="50">
        <f t="shared" ref="M130:R130" si="1">AVERAGE(M5:M128)</f>
        <v>631.00629032258075</v>
      </c>
      <c r="N130" s="49">
        <f t="shared" si="1"/>
        <v>64.520443548387092</v>
      </c>
      <c r="O130" s="49">
        <f t="shared" si="1"/>
        <v>17.094354838709673</v>
      </c>
      <c r="P130" s="49">
        <f t="shared" si="1"/>
        <v>1.9465040322580645</v>
      </c>
      <c r="Q130" s="49">
        <f t="shared" si="1"/>
        <v>0.52143387096774152</v>
      </c>
      <c r="R130" s="49">
        <f t="shared" si="1"/>
        <v>0.16698959677419359</v>
      </c>
    </row>
    <row r="131" spans="1:18" s="49" customFormat="1">
      <c r="A131" s="49" t="s">
        <v>280</v>
      </c>
      <c r="B131" s="49" t="s">
        <v>89</v>
      </c>
      <c r="D131" s="50">
        <f t="shared" ref="D131:L131" si="2">STDEV(D5:D128)</f>
        <v>1225.0319768796221</v>
      </c>
      <c r="E131" s="50">
        <f t="shared" si="2"/>
        <v>3347.8241035507062</v>
      </c>
      <c r="F131" s="49">
        <f t="shared" si="2"/>
        <v>2.291022250152702</v>
      </c>
      <c r="G131" s="50">
        <f t="shared" si="2"/>
        <v>3790.190002377723</v>
      </c>
      <c r="H131" s="50">
        <f t="shared" si="2"/>
        <v>685.78405194553204</v>
      </c>
      <c r="I131" s="50">
        <f t="shared" si="2"/>
        <v>103.8543636127265</v>
      </c>
      <c r="J131" s="50">
        <f t="shared" si="2"/>
        <v>160.95491525989499</v>
      </c>
      <c r="K131" s="51">
        <f t="shared" si="2"/>
        <v>26.176846610175328</v>
      </c>
      <c r="L131" s="51">
        <f t="shared" si="2"/>
        <v>45.953314659121602</v>
      </c>
      <c r="M131" s="50">
        <f t="shared" ref="M131:R131" si="3">STDEV(M5:M128)</f>
        <v>113.95549167135941</v>
      </c>
      <c r="N131" s="49">
        <f t="shared" si="3"/>
        <v>4.6392984616533886</v>
      </c>
      <c r="O131" s="49">
        <f t="shared" si="3"/>
        <v>4.4469303602781487</v>
      </c>
      <c r="P131" s="49">
        <f t="shared" si="3"/>
        <v>1.050314068661911</v>
      </c>
      <c r="Q131" s="49">
        <f t="shared" si="3"/>
        <v>0.19040435188675284</v>
      </c>
      <c r="R131" s="49">
        <f t="shared" si="3"/>
        <v>0.15731863041434671</v>
      </c>
    </row>
    <row r="132" spans="1:18" s="49" customFormat="1"/>
    <row r="133" spans="1:18">
      <c r="B133" s="15" t="s">
        <v>95</v>
      </c>
      <c r="C133" s="53"/>
      <c r="D133" s="15" t="s">
        <v>100</v>
      </c>
      <c r="E133" s="15" t="s">
        <v>103</v>
      </c>
      <c r="F133" s="15" t="s">
        <v>105</v>
      </c>
      <c r="G133" s="15" t="s">
        <v>106</v>
      </c>
      <c r="H133" s="15" t="s">
        <v>109</v>
      </c>
      <c r="I133" s="15" t="s">
        <v>111</v>
      </c>
      <c r="J133" s="15" t="s">
        <v>114</v>
      </c>
      <c r="K133" s="15" t="s">
        <v>116</v>
      </c>
      <c r="L133" s="15" t="s">
        <v>118</v>
      </c>
      <c r="M133" s="15" t="s">
        <v>120</v>
      </c>
      <c r="N133" s="15" t="s">
        <v>122</v>
      </c>
      <c r="O133" s="15" t="s">
        <v>128</v>
      </c>
      <c r="P133" s="15" t="s">
        <v>126</v>
      </c>
      <c r="Q133" s="15" t="s">
        <v>131</v>
      </c>
      <c r="R133" s="15" t="s">
        <v>133</v>
      </c>
    </row>
    <row r="134" spans="1:18">
      <c r="B134" s="15" t="s">
        <v>277</v>
      </c>
      <c r="C134" s="53"/>
      <c r="D134" s="15">
        <v>11618</v>
      </c>
      <c r="E134" s="15">
        <v>20787</v>
      </c>
      <c r="F134" s="15">
        <v>31</v>
      </c>
      <c r="G134" s="15">
        <v>87615</v>
      </c>
      <c r="H134" s="15">
        <v>9603</v>
      </c>
      <c r="I134" s="15">
        <v>1172</v>
      </c>
      <c r="J134" s="15">
        <v>2125</v>
      </c>
      <c r="K134" s="15">
        <v>241</v>
      </c>
      <c r="L134" s="15">
        <v>573</v>
      </c>
      <c r="M134" s="15">
        <v>588</v>
      </c>
      <c r="N134" s="15">
        <v>41.1</v>
      </c>
      <c r="O134" s="15">
        <v>11.66</v>
      </c>
      <c r="P134" s="15">
        <v>1.72</v>
      </c>
      <c r="Q134" s="15">
        <v>0.57999999999999996</v>
      </c>
      <c r="R134" s="15">
        <v>7.0000000000000007E-2</v>
      </c>
    </row>
    <row r="135" spans="1:18">
      <c r="B135" s="15" t="s">
        <v>278</v>
      </c>
      <c r="C135" s="53"/>
      <c r="D135" s="15" t="s">
        <v>101</v>
      </c>
      <c r="E135" s="15" t="s">
        <v>101</v>
      </c>
      <c r="F135" s="15" t="s">
        <v>101</v>
      </c>
      <c r="G135" s="15" t="s">
        <v>101</v>
      </c>
      <c r="H135" s="15" t="s">
        <v>101</v>
      </c>
      <c r="I135" s="15" t="s">
        <v>101</v>
      </c>
      <c r="J135" s="15" t="s">
        <v>101</v>
      </c>
      <c r="K135" s="15" t="s">
        <v>101</v>
      </c>
      <c r="L135" s="15" t="s">
        <v>101</v>
      </c>
      <c r="M135" s="15" t="s">
        <v>101</v>
      </c>
      <c r="N135" s="15" t="s">
        <v>123</v>
      </c>
      <c r="O135" s="15" t="s">
        <v>123</v>
      </c>
      <c r="P135" s="15" t="s">
        <v>123</v>
      </c>
      <c r="Q135" s="15" t="s">
        <v>101</v>
      </c>
      <c r="R135" s="15" t="s">
        <v>101</v>
      </c>
    </row>
    <row r="136" spans="1:18">
      <c r="B136" s="15"/>
      <c r="C136" s="53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 t="s">
        <v>124</v>
      </c>
      <c r="O136" s="15" t="s">
        <v>125</v>
      </c>
      <c r="P136" s="15" t="s">
        <v>125</v>
      </c>
      <c r="Q136" s="15"/>
      <c r="R136" s="15"/>
    </row>
    <row r="137" spans="1:18">
      <c r="B137" s="60" t="s">
        <v>282</v>
      </c>
      <c r="C137" s="15"/>
      <c r="D137" s="61">
        <f>(D130-D134)/D134*100</f>
        <v>-22.963692430127928</v>
      </c>
      <c r="E137" s="61">
        <f t="shared" ref="E137:R137" si="4">(E130-E134)/E134*100</f>
        <v>5.8761132966168832</v>
      </c>
      <c r="F137" s="61">
        <f t="shared" si="4"/>
        <v>-29.665712799167522</v>
      </c>
      <c r="G137" s="61">
        <f t="shared" si="4"/>
        <v>-12.760655853228819</v>
      </c>
      <c r="H137" s="61">
        <f t="shared" si="4"/>
        <v>10.350352544399751</v>
      </c>
      <c r="I137" s="61">
        <f t="shared" si="4"/>
        <v>33.884365022569654</v>
      </c>
      <c r="J137" s="61">
        <f t="shared" si="4"/>
        <v>-10.296766472485732</v>
      </c>
      <c r="K137" s="61">
        <f t="shared" si="4"/>
        <v>5.2974166778209248</v>
      </c>
      <c r="L137" s="61">
        <f t="shared" si="4"/>
        <v>-2.819188763159342</v>
      </c>
      <c r="M137" s="61">
        <f t="shared" si="4"/>
        <v>7.313994952819856</v>
      </c>
      <c r="N137" s="61">
        <f>(N130-N134)/N134*100</f>
        <v>56.984047562985616</v>
      </c>
      <c r="O137" s="61">
        <f t="shared" si="4"/>
        <v>46.606816798539221</v>
      </c>
      <c r="P137" s="61">
        <f t="shared" si="4"/>
        <v>13.168839084771191</v>
      </c>
      <c r="Q137" s="61">
        <f>(Q130-Q134)/Q134*100</f>
        <v>-10.097608453837664</v>
      </c>
      <c r="R137" s="61">
        <f t="shared" si="4"/>
        <v>138.55656682027652</v>
      </c>
    </row>
    <row r="138" spans="1:18" s="55" customFormat="1">
      <c r="B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1:18">
      <c r="B139" s="16" t="s">
        <v>95</v>
      </c>
      <c r="C139" s="16"/>
      <c r="D139" s="16" t="s">
        <v>104</v>
      </c>
      <c r="E139" s="16" t="s">
        <v>103</v>
      </c>
      <c r="F139" s="16" t="s">
        <v>105</v>
      </c>
      <c r="G139" s="16" t="s">
        <v>106</v>
      </c>
      <c r="H139" s="16" t="s">
        <v>109</v>
      </c>
      <c r="I139" s="16" t="s">
        <v>111</v>
      </c>
      <c r="J139" s="16" t="s">
        <v>114</v>
      </c>
      <c r="K139" s="16" t="s">
        <v>116</v>
      </c>
      <c r="L139" s="16" t="s">
        <v>118</v>
      </c>
      <c r="M139" s="16" t="s">
        <v>120</v>
      </c>
      <c r="N139" s="16" t="s">
        <v>122</v>
      </c>
      <c r="O139" s="16" t="s">
        <v>276</v>
      </c>
      <c r="P139" s="16" t="s">
        <v>126</v>
      </c>
      <c r="Q139" s="16"/>
      <c r="R139" s="16"/>
    </row>
    <row r="140" spans="1:18">
      <c r="B140" s="16"/>
      <c r="C140" s="16"/>
      <c r="D140" s="16" t="s">
        <v>94</v>
      </c>
      <c r="E140" s="16" t="s">
        <v>94</v>
      </c>
      <c r="F140" s="16" t="s">
        <v>94</v>
      </c>
      <c r="G140" s="16" t="s">
        <v>94</v>
      </c>
      <c r="H140" s="16" t="s">
        <v>94</v>
      </c>
      <c r="I140" s="16" t="s">
        <v>94</v>
      </c>
      <c r="J140" s="16" t="s">
        <v>94</v>
      </c>
      <c r="K140" s="16" t="s">
        <v>94</v>
      </c>
      <c r="L140" s="16" t="s">
        <v>94</v>
      </c>
      <c r="M140" s="16" t="s">
        <v>94</v>
      </c>
      <c r="N140" s="16" t="s">
        <v>94</v>
      </c>
      <c r="O140" s="16" t="s">
        <v>94</v>
      </c>
      <c r="P140" s="16" t="s">
        <v>94</v>
      </c>
      <c r="Q140" s="16"/>
      <c r="R140" s="16"/>
    </row>
    <row r="141" spans="1:18">
      <c r="B141" s="16" t="s">
        <v>281</v>
      </c>
      <c r="C141" s="16" t="s">
        <v>98</v>
      </c>
      <c r="D141" s="16">
        <v>2.02</v>
      </c>
      <c r="E141" s="16">
        <v>2.2999999999999998</v>
      </c>
      <c r="F141" s="16">
        <v>0.22</v>
      </c>
      <c r="G141" s="16">
        <v>0.96</v>
      </c>
      <c r="H141" s="16">
        <v>0.3</v>
      </c>
      <c r="I141" s="16">
        <v>0.5</v>
      </c>
      <c r="J141" s="16">
        <v>0.15</v>
      </c>
      <c r="K141" s="16">
        <v>6.3E-2</v>
      </c>
      <c r="L141" s="16">
        <v>2.1360000000000001</v>
      </c>
      <c r="M141" s="16">
        <v>0.372</v>
      </c>
      <c r="N141" s="16">
        <v>5.0999999999999997E-2</v>
      </c>
      <c r="O141" s="16">
        <v>2.5000000000000001E-2</v>
      </c>
      <c r="P141" s="16">
        <v>7.0000000000000001E-3</v>
      </c>
      <c r="Q141" s="16"/>
      <c r="R141" s="16"/>
    </row>
    <row r="142" spans="1:18">
      <c r="B142" s="16" t="s">
        <v>280</v>
      </c>
      <c r="C142" s="16" t="s">
        <v>97</v>
      </c>
      <c r="D142" s="16">
        <v>9580</v>
      </c>
      <c r="E142" s="16">
        <v>20116</v>
      </c>
      <c r="F142" s="16">
        <v>23.5</v>
      </c>
      <c r="G142" s="16">
        <v>74459</v>
      </c>
      <c r="H142" s="16">
        <v>8822</v>
      </c>
      <c r="I142" s="16">
        <v>1152</v>
      </c>
      <c r="J142" s="16">
        <v>1824</v>
      </c>
      <c r="K142" s="16">
        <v>280</v>
      </c>
      <c r="L142" s="16">
        <v>565</v>
      </c>
      <c r="M142" s="16">
        <v>569</v>
      </c>
      <c r="N142" s="16">
        <v>39.200000000000003</v>
      </c>
      <c r="O142" s="16">
        <v>26.1</v>
      </c>
      <c r="P142" s="16">
        <v>1.47</v>
      </c>
      <c r="Q142" s="16"/>
      <c r="R142" s="16"/>
    </row>
    <row r="143" spans="1:18">
      <c r="B143" s="16"/>
      <c r="C143" s="16" t="s">
        <v>96</v>
      </c>
      <c r="D143" s="16">
        <v>1463</v>
      </c>
      <c r="E143" s="16">
        <v>3432</v>
      </c>
      <c r="F143" s="16">
        <v>2.1</v>
      </c>
      <c r="G143" s="16">
        <v>5765</v>
      </c>
      <c r="H143" s="16">
        <v>623</v>
      </c>
      <c r="I143" s="16">
        <v>103</v>
      </c>
      <c r="J143" s="16">
        <v>118</v>
      </c>
      <c r="K143" s="16">
        <v>24</v>
      </c>
      <c r="L143" s="16">
        <v>44</v>
      </c>
      <c r="M143" s="16">
        <v>134</v>
      </c>
      <c r="N143" s="16">
        <v>2.4</v>
      </c>
      <c r="O143" s="16">
        <v>4.8099999999999996</v>
      </c>
      <c r="P143" s="16">
        <v>0.17</v>
      </c>
      <c r="Q143" s="16"/>
      <c r="R143" s="16"/>
    </row>
    <row r="144" spans="1:18">
      <c r="B144" s="62" t="s">
        <v>282</v>
      </c>
      <c r="C144" s="16"/>
      <c r="D144" s="63">
        <f>(D130-D142)/D142*100</f>
        <v>-6.5753839930298801</v>
      </c>
      <c r="E144" s="63">
        <f t="shared" ref="E144:P144" si="5">(E130-E142)/E142*100</f>
        <v>9.4077732698734913</v>
      </c>
      <c r="F144" s="63">
        <f t="shared" si="5"/>
        <v>-7.2185998627316215</v>
      </c>
      <c r="G144" s="63">
        <f t="shared" si="5"/>
        <v>2.6534755693651122</v>
      </c>
      <c r="H144" s="63">
        <f t="shared" si="5"/>
        <v>20.119523405562322</v>
      </c>
      <c r="I144" s="63">
        <f t="shared" si="5"/>
        <v>36.208746359767041</v>
      </c>
      <c r="J144" s="63">
        <f t="shared" si="5"/>
        <v>4.5062342357279705</v>
      </c>
      <c r="K144" s="63">
        <f t="shared" si="5"/>
        <v>-9.3690092165898466</v>
      </c>
      <c r="L144" s="63">
        <f t="shared" si="5"/>
        <v>-1.4431772766200053</v>
      </c>
      <c r="M144" s="63">
        <f t="shared" si="5"/>
        <v>10.897414819434227</v>
      </c>
      <c r="N144" s="63">
        <f t="shared" si="5"/>
        <v>64.592968235681354</v>
      </c>
      <c r="O144" s="63">
        <f t="shared" si="5"/>
        <v>-34.504387591150682</v>
      </c>
      <c r="P144" s="63">
        <f t="shared" si="5"/>
        <v>32.415240289664247</v>
      </c>
      <c r="Q144" s="63"/>
      <c r="R144" s="63"/>
    </row>
    <row r="145" spans="2:18" s="55" customFormat="1"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44" t="s">
        <v>95</v>
      </c>
      <c r="C146" s="56"/>
      <c r="D146" s="44" t="s">
        <v>100</v>
      </c>
      <c r="E146" s="44" t="s">
        <v>103</v>
      </c>
      <c r="F146" s="44" t="s">
        <v>105</v>
      </c>
      <c r="G146" s="44" t="s">
        <v>106</v>
      </c>
      <c r="H146" s="44" t="s">
        <v>109</v>
      </c>
      <c r="I146" s="44" t="s">
        <v>111</v>
      </c>
      <c r="J146" s="44" t="s">
        <v>114</v>
      </c>
      <c r="K146" s="44" t="s">
        <v>116</v>
      </c>
      <c r="L146" s="44" t="s">
        <v>118</v>
      </c>
      <c r="M146" s="44" t="s">
        <v>120</v>
      </c>
      <c r="N146" s="44" t="s">
        <v>122</v>
      </c>
      <c r="O146" s="44" t="s">
        <v>128</v>
      </c>
      <c r="P146" s="44" t="s">
        <v>126</v>
      </c>
      <c r="Q146" s="44" t="s">
        <v>131</v>
      </c>
      <c r="R146" s="44" t="s">
        <v>133</v>
      </c>
    </row>
    <row r="147" spans="2:18">
      <c r="B147" s="44"/>
      <c r="C147" s="56"/>
      <c r="D147" s="44" t="s">
        <v>94</v>
      </c>
      <c r="E147" s="44" t="s">
        <v>94</v>
      </c>
      <c r="F147" s="44" t="s">
        <v>94</v>
      </c>
      <c r="G147" s="44" t="s">
        <v>94</v>
      </c>
      <c r="H147" s="44" t="s">
        <v>94</v>
      </c>
      <c r="I147" s="44" t="s">
        <v>94</v>
      </c>
      <c r="J147" s="44" t="s">
        <v>94</v>
      </c>
      <c r="K147" s="44" t="s">
        <v>94</v>
      </c>
      <c r="L147" s="44" t="s">
        <v>94</v>
      </c>
      <c r="M147" s="44" t="s">
        <v>94</v>
      </c>
      <c r="N147" s="44" t="s">
        <v>94</v>
      </c>
      <c r="O147" s="44" t="s">
        <v>94</v>
      </c>
      <c r="P147" s="44" t="s">
        <v>94</v>
      </c>
      <c r="Q147" s="44" t="s">
        <v>94</v>
      </c>
      <c r="R147" s="44" t="s">
        <v>94</v>
      </c>
    </row>
    <row r="148" spans="2:18">
      <c r="B148" s="44" t="s">
        <v>279</v>
      </c>
      <c r="C148" s="44" t="s">
        <v>97</v>
      </c>
      <c r="D148" s="44">
        <v>9841</v>
      </c>
      <c r="E148" s="44">
        <v>17508</v>
      </c>
      <c r="F148" s="44">
        <v>29</v>
      </c>
      <c r="G148" s="44">
        <v>74064</v>
      </c>
      <c r="H148" s="44">
        <v>8959</v>
      </c>
      <c r="I148" s="44">
        <v>1349</v>
      </c>
      <c r="J148" s="44">
        <v>1984</v>
      </c>
      <c r="K148" s="44">
        <v>282</v>
      </c>
      <c r="L148" s="44">
        <v>607</v>
      </c>
      <c r="M148" s="44">
        <v>472</v>
      </c>
      <c r="N148" s="44">
        <v>48</v>
      </c>
      <c r="O148" s="44">
        <v>13.2</v>
      </c>
      <c r="P148" s="44">
        <v>1.59</v>
      </c>
      <c r="Q148" s="44">
        <v>0.9</v>
      </c>
      <c r="R148" s="44">
        <v>0.16</v>
      </c>
    </row>
    <row r="149" spans="2:18">
      <c r="B149" s="44" t="s">
        <v>280</v>
      </c>
      <c r="C149" s="44" t="s">
        <v>96</v>
      </c>
      <c r="D149" s="44">
        <v>1397</v>
      </c>
      <c r="E149" s="44">
        <v>3003</v>
      </c>
      <c r="F149" s="44">
        <v>5</v>
      </c>
      <c r="G149" s="44">
        <v>6734</v>
      </c>
      <c r="H149" s="44">
        <v>591</v>
      </c>
      <c r="I149" s="44">
        <v>97</v>
      </c>
      <c r="J149" s="44">
        <v>121</v>
      </c>
      <c r="K149" s="44">
        <v>27</v>
      </c>
      <c r="L149" s="44">
        <v>40</v>
      </c>
      <c r="M149" s="44">
        <v>104</v>
      </c>
      <c r="N149" s="44">
        <v>4</v>
      </c>
      <c r="O149" s="44">
        <v>2.8</v>
      </c>
      <c r="P149" s="44">
        <v>0.21</v>
      </c>
      <c r="Q149" s="44">
        <v>0.19</v>
      </c>
      <c r="R149" s="44">
        <v>0.06</v>
      </c>
    </row>
    <row r="150" spans="2:18">
      <c r="B150" s="64" t="s">
        <v>282</v>
      </c>
      <c r="C150" s="44"/>
      <c r="D150" s="65">
        <f>(D130-D148)/D148*100</f>
        <v>-9.0531631595596238</v>
      </c>
      <c r="E150" s="65">
        <f t="shared" ref="E150:R150" si="6">(E130-E148)/E148*100</f>
        <v>25.705207167967508</v>
      </c>
      <c r="F150" s="65">
        <f t="shared" si="6"/>
        <v>-24.815072302558384</v>
      </c>
      <c r="G150" s="65">
        <f t="shared" si="6"/>
        <v>3.2009496843183856</v>
      </c>
      <c r="H150" s="65">
        <f t="shared" si="6"/>
        <v>18.282669436753075</v>
      </c>
      <c r="I150" s="65">
        <f t="shared" si="6"/>
        <v>16.317624763863328</v>
      </c>
      <c r="J150" s="65">
        <f t="shared" si="6"/>
        <v>-3.9216878800565431</v>
      </c>
      <c r="K150" s="65">
        <f t="shared" si="6"/>
        <v>-10.011782200869352</v>
      </c>
      <c r="L150" s="65">
        <f t="shared" si="6"/>
        <v>-8.262594993888472</v>
      </c>
      <c r="M150" s="65">
        <f t="shared" si="6"/>
        <v>33.687773373428129</v>
      </c>
      <c r="N150" s="65">
        <f t="shared" si="6"/>
        <v>34.417590725806441</v>
      </c>
      <c r="O150" s="65">
        <f t="shared" si="6"/>
        <v>29.502688172042983</v>
      </c>
      <c r="P150" s="65">
        <f t="shared" si="6"/>
        <v>22.421637248934864</v>
      </c>
      <c r="Q150" s="65">
        <f t="shared" si="6"/>
        <v>-42.062903225806494</v>
      </c>
      <c r="R150" s="65">
        <f t="shared" si="6"/>
        <v>4.3684979838709905</v>
      </c>
    </row>
    <row r="151" spans="2:18">
      <c r="B151" s="49"/>
    </row>
    <row r="153" spans="2:18">
      <c r="B153" s="54" t="s">
        <v>283</v>
      </c>
      <c r="D153" s="57">
        <f>(D134+D142+D148)/3</f>
        <v>10346.333333333334</v>
      </c>
      <c r="E153" s="57">
        <f t="shared" ref="E153:P153" si="7">(E134+E142+E148)/3</f>
        <v>19470.333333333332</v>
      </c>
      <c r="F153" s="57">
        <f t="shared" si="7"/>
        <v>27.833333333333332</v>
      </c>
      <c r="G153" s="57">
        <f t="shared" si="7"/>
        <v>78712.666666666672</v>
      </c>
      <c r="H153" s="57">
        <f t="shared" si="7"/>
        <v>9128</v>
      </c>
      <c r="I153" s="57">
        <f t="shared" si="7"/>
        <v>1224.3333333333333</v>
      </c>
      <c r="J153" s="57">
        <f t="shared" si="7"/>
        <v>1977.6666666666667</v>
      </c>
      <c r="K153" s="57">
        <f t="shared" si="7"/>
        <v>267.66666666666669</v>
      </c>
      <c r="L153" s="57">
        <f t="shared" si="7"/>
        <v>581.66666666666663</v>
      </c>
      <c r="M153" s="57">
        <f t="shared" si="7"/>
        <v>543</v>
      </c>
      <c r="N153" s="57">
        <f t="shared" si="7"/>
        <v>42.766666666666673</v>
      </c>
      <c r="O153" s="57">
        <f t="shared" si="7"/>
        <v>16.986666666666668</v>
      </c>
      <c r="P153" s="58">
        <f t="shared" si="7"/>
        <v>1.5933333333333335</v>
      </c>
      <c r="Q153" s="58">
        <f>(Q134+Q142+Q148)/2</f>
        <v>0.74</v>
      </c>
      <c r="R153" s="58">
        <f>(R134+R142+R148)/2</f>
        <v>0.115</v>
      </c>
    </row>
    <row r="154" spans="2:18">
      <c r="B154" s="54" t="s">
        <v>284</v>
      </c>
      <c r="D154" s="54">
        <f>MAX(D134,D142,D148)</f>
        <v>11618</v>
      </c>
      <c r="E154" s="54">
        <f t="shared" ref="E154:R154" si="8">MAX(E134,E142,E148)</f>
        <v>20787</v>
      </c>
      <c r="F154" s="54">
        <f t="shared" si="8"/>
        <v>31</v>
      </c>
      <c r="G154" s="54">
        <f t="shared" si="8"/>
        <v>87615</v>
      </c>
      <c r="H154" s="54">
        <f t="shared" si="8"/>
        <v>9603</v>
      </c>
      <c r="I154" s="54">
        <f t="shared" si="8"/>
        <v>1349</v>
      </c>
      <c r="J154" s="54">
        <f t="shared" si="8"/>
        <v>2125</v>
      </c>
      <c r="K154" s="54">
        <f t="shared" si="8"/>
        <v>282</v>
      </c>
      <c r="L154" s="54">
        <f t="shared" si="8"/>
        <v>607</v>
      </c>
      <c r="M154" s="54">
        <f t="shared" si="8"/>
        <v>588</v>
      </c>
      <c r="N154" s="54">
        <f t="shared" si="8"/>
        <v>48</v>
      </c>
      <c r="O154" s="54">
        <f t="shared" si="8"/>
        <v>26.1</v>
      </c>
      <c r="P154" s="54">
        <f t="shared" si="8"/>
        <v>1.72</v>
      </c>
      <c r="Q154" s="54">
        <f t="shared" si="8"/>
        <v>0.9</v>
      </c>
      <c r="R154" s="54">
        <f t="shared" si="8"/>
        <v>0.16</v>
      </c>
    </row>
    <row r="155" spans="2:18">
      <c r="B155" s="54" t="s">
        <v>285</v>
      </c>
      <c r="D155" s="54">
        <f>MIN(D134,D142,D148)</f>
        <v>9580</v>
      </c>
      <c r="E155" s="54">
        <f t="shared" ref="E155:R155" si="9">MIN(E134,E142,E148)</f>
        <v>17508</v>
      </c>
      <c r="F155" s="54">
        <f t="shared" si="9"/>
        <v>23.5</v>
      </c>
      <c r="G155" s="54">
        <f t="shared" si="9"/>
        <v>74064</v>
      </c>
      <c r="H155" s="54">
        <f t="shared" si="9"/>
        <v>8822</v>
      </c>
      <c r="I155" s="54">
        <f t="shared" si="9"/>
        <v>1152</v>
      </c>
      <c r="J155" s="54">
        <f t="shared" si="9"/>
        <v>1824</v>
      </c>
      <c r="K155" s="54">
        <f t="shared" si="9"/>
        <v>241</v>
      </c>
      <c r="L155" s="54">
        <f t="shared" si="9"/>
        <v>565</v>
      </c>
      <c r="M155" s="54">
        <f t="shared" si="9"/>
        <v>472</v>
      </c>
      <c r="N155" s="54">
        <f t="shared" si="9"/>
        <v>39.200000000000003</v>
      </c>
      <c r="O155" s="54">
        <f t="shared" si="9"/>
        <v>11.66</v>
      </c>
      <c r="P155" s="54">
        <f t="shared" si="9"/>
        <v>1.47</v>
      </c>
      <c r="Q155" s="54">
        <f t="shared" si="9"/>
        <v>0.57999999999999996</v>
      </c>
      <c r="R155" s="54">
        <f t="shared" si="9"/>
        <v>7.0000000000000007E-2</v>
      </c>
    </row>
    <row r="156" spans="2:18">
      <c r="B156" s="54" t="s">
        <v>286</v>
      </c>
      <c r="D156" s="57">
        <f>D154-D153</f>
        <v>1271.6666666666661</v>
      </c>
      <c r="E156" s="57">
        <f t="shared" ref="E156:R156" si="10">E154-E153</f>
        <v>1316.6666666666679</v>
      </c>
      <c r="F156" s="57">
        <f t="shared" si="10"/>
        <v>3.1666666666666679</v>
      </c>
      <c r="G156" s="57">
        <f t="shared" si="10"/>
        <v>8902.3333333333285</v>
      </c>
      <c r="H156" s="57">
        <f t="shared" si="10"/>
        <v>475</v>
      </c>
      <c r="I156" s="57">
        <f t="shared" si="10"/>
        <v>124.66666666666674</v>
      </c>
      <c r="J156" s="57">
        <f t="shared" si="10"/>
        <v>147.33333333333326</v>
      </c>
      <c r="K156" s="57">
        <f t="shared" si="10"/>
        <v>14.333333333333314</v>
      </c>
      <c r="L156" s="57">
        <f t="shared" si="10"/>
        <v>25.333333333333371</v>
      </c>
      <c r="M156" s="57">
        <f t="shared" si="10"/>
        <v>45</v>
      </c>
      <c r="N156" s="57">
        <f t="shared" si="10"/>
        <v>5.2333333333333272</v>
      </c>
      <c r="O156" s="57">
        <f t="shared" si="10"/>
        <v>9.1133333333333333</v>
      </c>
      <c r="P156" s="58">
        <f t="shared" si="10"/>
        <v>0.12666666666666648</v>
      </c>
      <c r="Q156" s="58">
        <f t="shared" si="10"/>
        <v>0.16000000000000003</v>
      </c>
      <c r="R156" s="58">
        <f t="shared" si="10"/>
        <v>4.4999999999999998E-2</v>
      </c>
    </row>
    <row r="157" spans="2:18">
      <c r="B157" s="54" t="s">
        <v>287</v>
      </c>
      <c r="D157" s="57">
        <f>D153-D155</f>
        <v>766.33333333333394</v>
      </c>
      <c r="E157" s="57">
        <f t="shared" ref="E157:R157" si="11">E153-E155</f>
        <v>1962.3333333333321</v>
      </c>
      <c r="F157" s="57">
        <f t="shared" si="11"/>
        <v>4.3333333333333321</v>
      </c>
      <c r="G157" s="57">
        <f t="shared" si="11"/>
        <v>4648.6666666666715</v>
      </c>
      <c r="H157" s="57">
        <f t="shared" si="11"/>
        <v>306</v>
      </c>
      <c r="I157" s="57">
        <f t="shared" si="11"/>
        <v>72.333333333333258</v>
      </c>
      <c r="J157" s="57">
        <f t="shared" si="11"/>
        <v>153.66666666666674</v>
      </c>
      <c r="K157" s="57">
        <f t="shared" si="11"/>
        <v>26.666666666666686</v>
      </c>
      <c r="L157" s="57">
        <f t="shared" si="11"/>
        <v>16.666666666666629</v>
      </c>
      <c r="M157" s="57">
        <f t="shared" si="11"/>
        <v>71</v>
      </c>
      <c r="N157" s="57">
        <f t="shared" si="11"/>
        <v>3.56666666666667</v>
      </c>
      <c r="O157" s="57">
        <f t="shared" si="11"/>
        <v>5.326666666666668</v>
      </c>
      <c r="P157" s="58">
        <f t="shared" si="11"/>
        <v>0.12333333333333352</v>
      </c>
      <c r="Q157" s="58">
        <f>Q153-Q155</f>
        <v>0.16000000000000003</v>
      </c>
      <c r="R157" s="58">
        <f t="shared" si="11"/>
        <v>4.4999999999999998E-2</v>
      </c>
    </row>
    <row r="159" spans="2:18" s="59" customFormat="1">
      <c r="B159" s="52" t="s">
        <v>282</v>
      </c>
      <c r="C159" s="45"/>
      <c r="D159" s="46">
        <f>(D130-D153)/D153*100</f>
        <v>-13.495168528614935</v>
      </c>
      <c r="E159" s="46">
        <f t="shared" ref="E159:P159" si="12">(E130-E153)/E153*100</f>
        <v>13.035905930224201</v>
      </c>
      <c r="F159" s="46">
        <f t="shared" si="12"/>
        <v>-21.663608267336276</v>
      </c>
      <c r="G159" s="46">
        <f t="shared" si="12"/>
        <v>-2.8939628003198581</v>
      </c>
      <c r="H159" s="46">
        <f t="shared" si="12"/>
        <v>16.092729566594084</v>
      </c>
      <c r="I159" s="46">
        <f t="shared" si="12"/>
        <v>28.161564775212337</v>
      </c>
      <c r="J159" s="46">
        <f t="shared" si="12"/>
        <v>-3.6140040893471377</v>
      </c>
      <c r="K159" s="46">
        <f t="shared" si="12"/>
        <v>-5.1929859799943667</v>
      </c>
      <c r="L159" s="46">
        <f t="shared" si="12"/>
        <v>-4.2671550050836089</v>
      </c>
      <c r="M159" s="46">
        <f t="shared" si="12"/>
        <v>16.207419948909898</v>
      </c>
      <c r="N159" s="46">
        <f t="shared" si="12"/>
        <v>50.866196917506826</v>
      </c>
      <c r="O159" s="46">
        <f t="shared" si="12"/>
        <v>0.63395705676808378</v>
      </c>
      <c r="P159" s="46">
        <f t="shared" si="12"/>
        <v>22.165525037117003</v>
      </c>
      <c r="Q159" s="46">
        <f>(Q130-Q153)/Q153*100</f>
        <v>-29.535963382737627</v>
      </c>
      <c r="R159" s="46">
        <f>(R130-R153)/R153*100</f>
        <v>45.2083450210379</v>
      </c>
    </row>
    <row r="166" spans="6:12">
      <c r="F166" s="42"/>
      <c r="G166" s="42"/>
      <c r="H166" s="42"/>
      <c r="I166" s="42"/>
      <c r="J166" s="42"/>
      <c r="K166" s="55"/>
      <c r="L166" s="42"/>
    </row>
  </sheetData>
  <phoneticPr fontId="1" type="noConversion"/>
  <pageMargins left="0.7" right="0.7" top="0.75" bottom="0.75" header="0.3" footer="0.3"/>
  <pageSetup paperSize="9"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KL2-G2</vt:lpstr>
      <vt:lpstr>ML3B-G</vt:lpstr>
      <vt:lpstr>BC-28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CLM</dc:creator>
  <cp:lastModifiedBy>Editorial Assistant</cp:lastModifiedBy>
  <dcterms:created xsi:type="dcterms:W3CDTF">2016-07-20T17:35:46Z</dcterms:created>
  <dcterms:modified xsi:type="dcterms:W3CDTF">2017-02-23T15:26:52Z</dcterms:modified>
</cp:coreProperties>
</file>