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25520" windowHeight="156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5" i="1" l="1"/>
  <c r="S5" i="1"/>
  <c r="T5" i="1"/>
  <c r="Q6" i="1"/>
  <c r="S6" i="1"/>
  <c r="T6" i="1"/>
  <c r="Q7" i="1"/>
  <c r="S7" i="1"/>
  <c r="T7" i="1"/>
  <c r="Q8" i="1"/>
  <c r="S8" i="1"/>
  <c r="T8" i="1"/>
  <c r="Q9" i="1"/>
  <c r="S9" i="1"/>
  <c r="T9" i="1"/>
  <c r="Q10" i="1"/>
  <c r="S10" i="1"/>
  <c r="T10" i="1"/>
  <c r="Q11" i="1"/>
  <c r="S11" i="1"/>
  <c r="T11" i="1"/>
  <c r="Q12" i="1"/>
  <c r="S12" i="1"/>
  <c r="T12" i="1"/>
  <c r="Q13" i="1"/>
  <c r="S13" i="1"/>
  <c r="T13" i="1"/>
  <c r="Q14" i="1"/>
  <c r="S14" i="1"/>
  <c r="T14" i="1"/>
  <c r="Q15" i="1"/>
  <c r="S15" i="1"/>
  <c r="T15" i="1"/>
  <c r="Q16" i="1"/>
  <c r="S16" i="1"/>
  <c r="T16" i="1"/>
  <c r="Q17" i="1"/>
  <c r="S17" i="1"/>
  <c r="T17" i="1"/>
  <c r="Q18" i="1"/>
  <c r="S18" i="1"/>
  <c r="T18" i="1"/>
  <c r="Q19" i="1"/>
  <c r="S19" i="1"/>
  <c r="T19" i="1"/>
  <c r="Q20" i="1"/>
  <c r="S20" i="1"/>
  <c r="T20" i="1"/>
  <c r="Q21" i="1"/>
  <c r="S21" i="1"/>
  <c r="T21" i="1"/>
  <c r="Q22" i="1"/>
  <c r="S22" i="1"/>
  <c r="T22" i="1"/>
  <c r="Q23" i="1"/>
  <c r="S23" i="1"/>
  <c r="T23" i="1"/>
  <c r="Q24" i="1"/>
  <c r="S24" i="1"/>
  <c r="T24" i="1"/>
  <c r="Q25" i="1"/>
  <c r="S25" i="1"/>
  <c r="T25" i="1"/>
  <c r="Q26" i="1"/>
  <c r="S26" i="1"/>
  <c r="T26" i="1"/>
  <c r="Q27" i="1"/>
  <c r="S27" i="1"/>
  <c r="T27" i="1"/>
  <c r="Q28" i="1"/>
  <c r="R28" i="1"/>
  <c r="S28" i="1"/>
  <c r="T28" i="1"/>
  <c r="Q29" i="1"/>
  <c r="R29" i="1"/>
  <c r="S29" i="1"/>
  <c r="T29" i="1"/>
  <c r="Q30" i="1"/>
  <c r="R30" i="1"/>
  <c r="S30" i="1"/>
  <c r="T30" i="1"/>
  <c r="Q31" i="1"/>
  <c r="R31" i="1"/>
  <c r="S31" i="1"/>
  <c r="T31" i="1"/>
  <c r="Q32" i="1"/>
  <c r="R32" i="1"/>
  <c r="S32" i="1"/>
  <c r="T32" i="1"/>
  <c r="Q33" i="1"/>
  <c r="R33" i="1"/>
  <c r="S33" i="1"/>
  <c r="T33" i="1"/>
  <c r="Q34" i="1"/>
  <c r="R34" i="1"/>
  <c r="S34" i="1"/>
  <c r="T34" i="1"/>
  <c r="Q35" i="1"/>
  <c r="R35" i="1"/>
  <c r="S35" i="1"/>
  <c r="T35" i="1"/>
  <c r="Q36" i="1"/>
  <c r="R36" i="1"/>
  <c r="S36" i="1"/>
  <c r="T36" i="1"/>
  <c r="Q37" i="1"/>
  <c r="R37" i="1"/>
  <c r="S37" i="1"/>
  <c r="T37" i="1"/>
  <c r="Q38" i="1"/>
  <c r="R38" i="1"/>
  <c r="S38" i="1"/>
  <c r="T38" i="1"/>
  <c r="Q39" i="1"/>
  <c r="R39" i="1"/>
  <c r="S39" i="1"/>
  <c r="T39" i="1"/>
  <c r="Q40" i="1"/>
  <c r="R40" i="1"/>
  <c r="S40" i="1"/>
  <c r="T40" i="1"/>
  <c r="Q41" i="1"/>
  <c r="R41" i="1"/>
  <c r="S41" i="1"/>
  <c r="T41" i="1"/>
  <c r="Q42" i="1"/>
  <c r="R42" i="1"/>
  <c r="S42" i="1"/>
  <c r="T42" i="1"/>
  <c r="Q43" i="1"/>
  <c r="R43" i="1"/>
  <c r="S43" i="1"/>
  <c r="T43" i="1"/>
  <c r="Q44" i="1"/>
  <c r="R44" i="1"/>
  <c r="S44" i="1"/>
  <c r="T44" i="1"/>
  <c r="Q45" i="1"/>
  <c r="S45" i="1"/>
  <c r="T45" i="1"/>
  <c r="Q46" i="1"/>
  <c r="S46" i="1"/>
  <c r="T46" i="1"/>
  <c r="Q47" i="1"/>
  <c r="S47" i="1"/>
  <c r="T47" i="1"/>
  <c r="Q48" i="1"/>
  <c r="S48" i="1"/>
  <c r="T48" i="1"/>
  <c r="Q49" i="1"/>
  <c r="S49" i="1"/>
  <c r="T49" i="1"/>
  <c r="Q50" i="1"/>
  <c r="S50" i="1"/>
  <c r="T50" i="1"/>
  <c r="Q51" i="1"/>
  <c r="S51" i="1"/>
  <c r="T51" i="1"/>
  <c r="Q52" i="1"/>
  <c r="S52" i="1"/>
  <c r="T52" i="1"/>
  <c r="Q53" i="1"/>
  <c r="S53" i="1"/>
  <c r="T53" i="1"/>
  <c r="Q54" i="1"/>
  <c r="R54" i="1"/>
  <c r="S54" i="1"/>
  <c r="T54" i="1"/>
  <c r="Q55" i="1"/>
  <c r="R55" i="1"/>
  <c r="S55" i="1"/>
  <c r="T55" i="1"/>
  <c r="Q56" i="1"/>
  <c r="R56" i="1"/>
  <c r="S56" i="1"/>
  <c r="T56" i="1"/>
  <c r="Q57" i="1"/>
  <c r="R57" i="1"/>
  <c r="S57" i="1"/>
  <c r="T57" i="1"/>
  <c r="Q58" i="1"/>
  <c r="R58" i="1"/>
  <c r="S58" i="1"/>
  <c r="T58" i="1"/>
  <c r="Q59" i="1"/>
  <c r="R59" i="1"/>
  <c r="S59" i="1"/>
  <c r="T59" i="1"/>
  <c r="Q60" i="1"/>
  <c r="R60" i="1"/>
  <c r="S60" i="1"/>
  <c r="T60" i="1"/>
  <c r="Q61" i="1"/>
  <c r="R61" i="1"/>
  <c r="S61" i="1"/>
  <c r="T61" i="1"/>
  <c r="Q62" i="1"/>
  <c r="R62" i="1"/>
  <c r="S62" i="1"/>
  <c r="T62" i="1"/>
  <c r="Q63" i="1"/>
  <c r="R63" i="1"/>
  <c r="S63" i="1"/>
  <c r="T63" i="1"/>
  <c r="Q64" i="1"/>
  <c r="R64" i="1"/>
  <c r="S64" i="1"/>
  <c r="T64" i="1"/>
  <c r="Q65" i="1"/>
  <c r="R65" i="1"/>
  <c r="S65" i="1"/>
  <c r="T65" i="1"/>
  <c r="Q66" i="1"/>
  <c r="R66" i="1"/>
  <c r="S66" i="1"/>
  <c r="T66" i="1"/>
  <c r="Q67" i="1"/>
  <c r="R67" i="1"/>
  <c r="S67" i="1"/>
  <c r="T67" i="1"/>
  <c r="Q68" i="1"/>
  <c r="R68" i="1"/>
  <c r="S68" i="1"/>
  <c r="T68" i="1"/>
  <c r="Q69" i="1"/>
  <c r="R69" i="1"/>
  <c r="S69" i="1"/>
  <c r="T69" i="1"/>
  <c r="Q70" i="1"/>
  <c r="R70" i="1"/>
  <c r="S70" i="1"/>
  <c r="T70" i="1"/>
  <c r="Q71" i="1"/>
  <c r="R71" i="1"/>
  <c r="S71" i="1"/>
  <c r="T71" i="1"/>
  <c r="Q72" i="1"/>
  <c r="R72" i="1"/>
  <c r="S72" i="1"/>
  <c r="T72" i="1"/>
  <c r="Q73" i="1"/>
  <c r="R73" i="1"/>
  <c r="S73" i="1"/>
  <c r="T73" i="1"/>
  <c r="Q74" i="1"/>
  <c r="R74" i="1"/>
  <c r="S74" i="1"/>
  <c r="T74" i="1"/>
  <c r="Q75" i="1"/>
  <c r="R75" i="1"/>
  <c r="S75" i="1"/>
  <c r="T75" i="1"/>
  <c r="Q76" i="1"/>
  <c r="R76" i="1"/>
  <c r="S76" i="1"/>
  <c r="T76" i="1"/>
  <c r="Q77" i="1"/>
  <c r="R77" i="1"/>
  <c r="S77" i="1"/>
  <c r="T77" i="1"/>
  <c r="Q78" i="1"/>
  <c r="S78" i="1"/>
  <c r="T78" i="1"/>
  <c r="Q79" i="1"/>
  <c r="S79" i="1"/>
  <c r="T79" i="1"/>
  <c r="Q80" i="1"/>
  <c r="S80" i="1"/>
  <c r="T80" i="1"/>
  <c r="Q81" i="1"/>
  <c r="S81" i="1"/>
  <c r="T81" i="1"/>
  <c r="Q82" i="1"/>
  <c r="S82" i="1"/>
  <c r="T82" i="1"/>
  <c r="Q83" i="1"/>
  <c r="S83" i="1"/>
  <c r="T83" i="1"/>
  <c r="Q84" i="1"/>
  <c r="S84" i="1"/>
  <c r="T84" i="1"/>
  <c r="Q85" i="1"/>
  <c r="S85" i="1"/>
  <c r="T85" i="1"/>
  <c r="Q86" i="1"/>
  <c r="S86" i="1"/>
  <c r="T86" i="1"/>
  <c r="Q87" i="1"/>
  <c r="S87" i="1"/>
  <c r="T87" i="1"/>
  <c r="Q88" i="1"/>
  <c r="S88" i="1"/>
  <c r="T88" i="1"/>
  <c r="Q89" i="1"/>
  <c r="S89" i="1"/>
  <c r="T89" i="1"/>
  <c r="Q90" i="1"/>
  <c r="S90" i="1"/>
  <c r="T90" i="1"/>
  <c r="Q91" i="1"/>
  <c r="S91" i="1"/>
  <c r="T91" i="1"/>
  <c r="Q92" i="1"/>
  <c r="S92" i="1"/>
  <c r="T92" i="1"/>
  <c r="Q93" i="1"/>
  <c r="S93" i="1"/>
  <c r="T93" i="1"/>
  <c r="Q94" i="1"/>
  <c r="S94" i="1"/>
  <c r="T94" i="1"/>
  <c r="Q95" i="1"/>
  <c r="S95" i="1"/>
  <c r="T95" i="1"/>
  <c r="Q96" i="1"/>
  <c r="S96" i="1"/>
  <c r="T96" i="1"/>
  <c r="Q97" i="1"/>
  <c r="S97" i="1"/>
  <c r="T97" i="1"/>
  <c r="Q98" i="1"/>
  <c r="S98" i="1"/>
  <c r="T98" i="1"/>
  <c r="Q99" i="1"/>
  <c r="S99" i="1"/>
  <c r="T99" i="1"/>
  <c r="Q100" i="1"/>
  <c r="R100" i="1"/>
  <c r="S100" i="1"/>
  <c r="T100" i="1"/>
  <c r="Q101" i="1"/>
  <c r="R101" i="1"/>
  <c r="S101" i="1"/>
  <c r="T101" i="1"/>
  <c r="Q102" i="1"/>
  <c r="R102" i="1"/>
  <c r="S102" i="1"/>
  <c r="T102" i="1"/>
  <c r="Q103" i="1"/>
  <c r="R103" i="1"/>
  <c r="S103" i="1"/>
  <c r="T103" i="1"/>
  <c r="Q104" i="1"/>
  <c r="R104" i="1"/>
  <c r="S104" i="1"/>
  <c r="T104" i="1"/>
  <c r="Q105" i="1"/>
  <c r="R105" i="1"/>
  <c r="S105" i="1"/>
  <c r="T105" i="1"/>
  <c r="Q106" i="1"/>
  <c r="S106" i="1"/>
  <c r="T106" i="1"/>
  <c r="Q107" i="1"/>
  <c r="S107" i="1"/>
  <c r="T107" i="1"/>
  <c r="Q108" i="1"/>
  <c r="S108" i="1"/>
  <c r="T108" i="1"/>
  <c r="Q109" i="1"/>
  <c r="S109" i="1"/>
  <c r="T109" i="1"/>
  <c r="Q110" i="1"/>
  <c r="S110" i="1"/>
  <c r="T110" i="1"/>
  <c r="Q111" i="1"/>
  <c r="S111" i="1"/>
  <c r="T111" i="1"/>
  <c r="Q112" i="1"/>
  <c r="S112" i="1"/>
  <c r="T112" i="1"/>
  <c r="T122" i="1"/>
  <c r="T121" i="1"/>
  <c r="P112" i="1"/>
  <c r="P111" i="1"/>
  <c r="P110" i="1"/>
  <c r="P109" i="1"/>
  <c r="P108" i="1"/>
  <c r="P107" i="1"/>
  <c r="P106" i="1"/>
</calcChain>
</file>

<file path=xl/sharedStrings.xml><?xml version="1.0" encoding="utf-8"?>
<sst xmlns="http://schemas.openxmlformats.org/spreadsheetml/2006/main" count="230" uniqueCount="132">
  <si>
    <t>SiO2</t>
  </si>
  <si>
    <t>TiO2</t>
  </si>
  <si>
    <t>Al2O3</t>
  </si>
  <si>
    <t>MnO</t>
  </si>
  <si>
    <t>MgO</t>
  </si>
  <si>
    <t>CaO</t>
  </si>
  <si>
    <t>Na2O</t>
  </si>
  <si>
    <t>K2O</t>
  </si>
  <si>
    <t>P2O5</t>
  </si>
  <si>
    <t>Total</t>
  </si>
  <si>
    <t>melt Mg/Fe</t>
  </si>
  <si>
    <t>olivine Mg/Fe</t>
  </si>
  <si>
    <t>KD</t>
  </si>
  <si>
    <t>#118</t>
  </si>
  <si>
    <t>#114</t>
  </si>
  <si>
    <t>#144</t>
  </si>
  <si>
    <t>#115</t>
  </si>
  <si>
    <t>#143</t>
  </si>
  <si>
    <t>#146</t>
  </si>
  <si>
    <t>#225</t>
  </si>
  <si>
    <t>#140</t>
  </si>
  <si>
    <t>#113</t>
  </si>
  <si>
    <t>#155</t>
  </si>
  <si>
    <t>#138</t>
  </si>
  <si>
    <t>#112</t>
  </si>
  <si>
    <t>#6</t>
  </si>
  <si>
    <t>#87</t>
  </si>
  <si>
    <t>#189</t>
  </si>
  <si>
    <t>#88</t>
  </si>
  <si>
    <t>#31</t>
  </si>
  <si>
    <t>#62</t>
  </si>
  <si>
    <t>#188</t>
  </si>
  <si>
    <t>Jor46.2</t>
  </si>
  <si>
    <t>PEM22-17</t>
  </si>
  <si>
    <t>SAT-M22-2</t>
  </si>
  <si>
    <t>PEM22-12</t>
  </si>
  <si>
    <t>PEM22-6</t>
  </si>
  <si>
    <t>PEM22-1</t>
  </si>
  <si>
    <t>PEM22-9</t>
  </si>
  <si>
    <t>PEM22-8</t>
  </si>
  <si>
    <t>PEM22-7</t>
  </si>
  <si>
    <t>PEM22-20</t>
  </si>
  <si>
    <t>PEM22-18</t>
  </si>
  <si>
    <t>PEM22-19</t>
  </si>
  <si>
    <t>PEM22-2</t>
  </si>
  <si>
    <t xml:space="preserve">#7 </t>
  </si>
  <si>
    <t>#126</t>
  </si>
  <si>
    <t xml:space="preserve">#8 </t>
  </si>
  <si>
    <t xml:space="preserve">#127 </t>
  </si>
  <si>
    <t xml:space="preserve">#1 </t>
  </si>
  <si>
    <t xml:space="preserve">#23 </t>
  </si>
  <si>
    <t xml:space="preserve">#11 </t>
  </si>
  <si>
    <t xml:space="preserve">#13 </t>
  </si>
  <si>
    <t xml:space="preserve">#5 </t>
  </si>
  <si>
    <t>SAR11</t>
  </si>
  <si>
    <t>PAF19</t>
  </si>
  <si>
    <t>SAR5</t>
  </si>
  <si>
    <t>SAR7</t>
  </si>
  <si>
    <t>SAR3</t>
  </si>
  <si>
    <t>SAR4</t>
  </si>
  <si>
    <t>PAF5</t>
  </si>
  <si>
    <t>SAR17</t>
  </si>
  <si>
    <t>PAF22</t>
  </si>
  <si>
    <t>PAF15</t>
  </si>
  <si>
    <t>PAF24</t>
  </si>
  <si>
    <t>PAF11</t>
  </si>
  <si>
    <t>SAR15</t>
  </si>
  <si>
    <t>PAF16</t>
  </si>
  <si>
    <t>SAR9</t>
  </si>
  <si>
    <t>SAR16</t>
  </si>
  <si>
    <t>PAF17</t>
  </si>
  <si>
    <t>PAF8</t>
  </si>
  <si>
    <t>PAF20</t>
  </si>
  <si>
    <t>SAR2</t>
  </si>
  <si>
    <t>PAF7</t>
  </si>
  <si>
    <t>PAF6</t>
  </si>
  <si>
    <t>93A</t>
  </si>
  <si>
    <t>74A</t>
  </si>
  <si>
    <t>79-35g-#11</t>
  </si>
  <si>
    <t>79-35g-#6</t>
  </si>
  <si>
    <t>79-35g-#4</t>
  </si>
  <si>
    <t>79-35g-#10</t>
  </si>
  <si>
    <t>82-66+NAOH-#2</t>
  </si>
  <si>
    <t>85S52b+An80-#1</t>
  </si>
  <si>
    <t>87S35a-#3</t>
  </si>
  <si>
    <t>82-66+Ab-#1</t>
  </si>
  <si>
    <t>85S52b-#13</t>
  </si>
  <si>
    <t>85S52b+An80-#9</t>
  </si>
  <si>
    <t>82-66+NAOH-#1</t>
  </si>
  <si>
    <t>82-62-#4</t>
  </si>
  <si>
    <t>85S52b-#11</t>
  </si>
  <si>
    <t>79-35g-#12</t>
  </si>
  <si>
    <t>85S52b-#14</t>
  </si>
  <si>
    <t>82-62-#3</t>
  </si>
  <si>
    <t>82-66-#3</t>
  </si>
  <si>
    <t>82-66-#5</t>
  </si>
  <si>
    <t>85S52b+An80-#14</t>
  </si>
  <si>
    <t>87S35a-#11</t>
  </si>
  <si>
    <t>85S52b-#12</t>
  </si>
  <si>
    <t>82-66-#7</t>
  </si>
  <si>
    <t>82-66-8</t>
  </si>
  <si>
    <t>79-35g-17</t>
  </si>
  <si>
    <t>82-66-10</t>
  </si>
  <si>
    <t>82-66-9</t>
  </si>
  <si>
    <t>79-35g-16</t>
  </si>
  <si>
    <t>1140MF-18</t>
  </si>
  <si>
    <t>avg</t>
  </si>
  <si>
    <t>st. dev</t>
  </si>
  <si>
    <r>
      <t>Appendix J-2 Experimental conditions, melt compositions, Fe</t>
    </r>
    <r>
      <rPr>
        <b/>
        <vertAlign val="superscript"/>
        <sz val="16"/>
        <color theme="1"/>
        <rFont val="Arial"/>
      </rPr>
      <t>2+</t>
    </r>
    <r>
      <rPr>
        <b/>
        <sz val="16"/>
        <color theme="1"/>
        <rFont val="Arial"/>
      </rPr>
      <t>/Fe</t>
    </r>
    <r>
      <rPr>
        <b/>
        <vertAlign val="superscript"/>
        <sz val="16"/>
        <color theme="1"/>
        <rFont val="Arial"/>
      </rPr>
      <t>3+</t>
    </r>
    <r>
      <rPr>
        <b/>
        <sz val="16"/>
        <color theme="1"/>
        <rFont val="Arial"/>
      </rPr>
      <t xml:space="preserve"> results, olivine Mg/Fe and KD calculation of 108 hydrous experiments in Appendix J-1</t>
    </r>
  </si>
  <si>
    <t>Study</t>
  </si>
  <si>
    <t>Experiment</t>
  </si>
  <si>
    <t>Almeev et al., 2007</t>
  </si>
  <si>
    <t>Barclay and Carmichael, 2004</t>
  </si>
  <si>
    <t>Berndt et al., 2005</t>
  </si>
  <si>
    <t>Moore and Carmichael, 1998</t>
  </si>
  <si>
    <t>Médard and Grove, 2008</t>
  </si>
  <si>
    <t>Parman et al., 2011</t>
  </si>
  <si>
    <t>Righter and Carmichael, 1996</t>
  </si>
  <si>
    <t>Sisson and Grove, 1993a</t>
  </si>
  <si>
    <t>Sisson and Grove, 1993b</t>
  </si>
  <si>
    <t>Wagner et al., 1995</t>
  </si>
  <si>
    <t>T(˚C)</t>
  </si>
  <si>
    <t>∆NNO</t>
  </si>
  <si>
    <t>melt composition (wt%)</t>
  </si>
  <si>
    <t>olivine XMgO/(XMgO+XFeO)*100</t>
  </si>
  <si>
    <t>Fe2O3*</t>
  </si>
  <si>
    <t>FeO*</t>
  </si>
  <si>
    <t>#193</t>
  </si>
  <si>
    <t>#194</t>
  </si>
  <si>
    <t>#192</t>
  </si>
  <si>
    <t>* FeO and Fe2O3 content of the melt were calculated from Jayasuriya et al. (2004) model, based on reported melt composition, temperature and ∆NNO</t>
  </si>
  <si>
    <t>Pu et al.; American Mineralogist, Apr.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</si>
</sst>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6"/>
      <color theme="1"/>
      <name val="Arial"/>
    </font>
    <font>
      <b/>
      <vertAlign val="superscript"/>
      <sz val="16"/>
      <color theme="1"/>
      <name val="Arial"/>
    </font>
    <font>
      <b/>
      <sz val="12"/>
      <color rgb="FF000000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Border="1"/>
    <xf numFmtId="165" fontId="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4"/>
  <sheetViews>
    <sheetView tabSelected="1" workbookViewId="0">
      <selection activeCell="B1" sqref="B1"/>
    </sheetView>
  </sheetViews>
  <sheetFormatPr baseColWidth="10" defaultRowHeight="15" x14ac:dyDescent="0"/>
  <cols>
    <col min="1" max="1" width="27.83203125" style="1" customWidth="1"/>
    <col min="2" max="2" width="13.33203125" style="6" customWidth="1"/>
    <col min="3" max="4" width="10.83203125" style="14"/>
    <col min="5" max="17" width="10.83203125" style="6"/>
    <col min="18" max="18" width="21" style="6" customWidth="1"/>
    <col min="19" max="19" width="13.33203125" style="6" customWidth="1"/>
    <col min="20" max="16384" width="10.83203125" style="6"/>
  </cols>
  <sheetData>
    <row r="1" spans="1:50" ht="18">
      <c r="A1" s="17" t="s">
        <v>131</v>
      </c>
      <c r="B1" s="8"/>
      <c r="C1" s="8"/>
      <c r="D1" s="8"/>
      <c r="E1" s="8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</row>
    <row r="2" spans="1:50" ht="19">
      <c r="A2" s="18" t="s">
        <v>108</v>
      </c>
      <c r="B2" s="8"/>
      <c r="C2" s="8"/>
      <c r="D2" s="8"/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</row>
    <row r="3" spans="1:50">
      <c r="A3" s="9"/>
      <c r="B3" s="8"/>
      <c r="C3" s="8"/>
      <c r="D3" s="8"/>
      <c r="E3" s="19" t="s">
        <v>123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5"/>
      <c r="R3" s="20" t="s">
        <v>124</v>
      </c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50" s="1" customFormat="1">
      <c r="A4" s="1" t="s">
        <v>109</v>
      </c>
      <c r="B4" s="10" t="s">
        <v>110</v>
      </c>
      <c r="C4" s="10" t="s">
        <v>121</v>
      </c>
      <c r="D4" s="10" t="s">
        <v>122</v>
      </c>
      <c r="E4" s="16" t="s">
        <v>0</v>
      </c>
      <c r="F4" s="16" t="s">
        <v>1</v>
      </c>
      <c r="G4" s="16" t="s">
        <v>2</v>
      </c>
      <c r="H4" s="16" t="s">
        <v>126</v>
      </c>
      <c r="I4" s="16" t="s">
        <v>125</v>
      </c>
      <c r="J4" s="16" t="s">
        <v>3</v>
      </c>
      <c r="K4" s="16" t="s">
        <v>4</v>
      </c>
      <c r="L4" s="16" t="s">
        <v>5</v>
      </c>
      <c r="M4" s="16" t="s">
        <v>6</v>
      </c>
      <c r="N4" s="16" t="s">
        <v>7</v>
      </c>
      <c r="O4" s="16" t="s">
        <v>8</v>
      </c>
      <c r="P4" s="16" t="s">
        <v>9</v>
      </c>
      <c r="Q4" s="16" t="s">
        <v>10</v>
      </c>
      <c r="R4" s="20"/>
      <c r="S4" s="16" t="s">
        <v>11</v>
      </c>
      <c r="T4" s="16" t="s">
        <v>12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</row>
    <row r="5" spans="1:50">
      <c r="A5" s="1" t="s">
        <v>111</v>
      </c>
      <c r="B5" s="1" t="s">
        <v>13</v>
      </c>
      <c r="C5" s="2">
        <v>1210</v>
      </c>
      <c r="D5" s="11">
        <v>-0.28706059238810244</v>
      </c>
      <c r="E5" s="3">
        <v>50.228888925328917</v>
      </c>
      <c r="F5" s="3">
        <v>1.0141673859431268</v>
      </c>
      <c r="G5" s="3">
        <v>15.762092664672073</v>
      </c>
      <c r="H5" s="3">
        <v>7.6766528649038737</v>
      </c>
      <c r="I5" s="3">
        <v>2.06399066917264</v>
      </c>
      <c r="J5" s="3">
        <v>0.23036723100675346</v>
      </c>
      <c r="K5" s="3">
        <v>9.0030554963405098</v>
      </c>
      <c r="L5" s="3">
        <v>12.067421670917726</v>
      </c>
      <c r="M5" s="3">
        <v>2.0983865846368515</v>
      </c>
      <c r="N5" s="3">
        <v>6.1691310891907776E-2</v>
      </c>
      <c r="O5" s="3">
        <v>0</v>
      </c>
      <c r="P5" s="3">
        <v>100.20671480381436</v>
      </c>
      <c r="Q5" s="3">
        <f t="shared" ref="Q5:Q68" si="0">K5/H5/(40.304/71.846)</f>
        <v>2.0906073291240199</v>
      </c>
      <c r="R5" s="4">
        <v>85.95882100758655</v>
      </c>
      <c r="S5" s="4">
        <f t="shared" ref="S5:S68" si="1">R5/(100-R5)</f>
        <v>6.1219090686067545</v>
      </c>
      <c r="T5" s="13">
        <f t="shared" ref="T5:T68" si="2">Q5/S5</f>
        <v>0.34149597873720261</v>
      </c>
    </row>
    <row r="6" spans="1:50">
      <c r="A6" s="1" t="s">
        <v>111</v>
      </c>
      <c r="B6" s="1" t="s">
        <v>14</v>
      </c>
      <c r="C6" s="2">
        <v>1210</v>
      </c>
      <c r="D6" s="11">
        <v>-0.21754698738603651</v>
      </c>
      <c r="E6" s="3">
        <v>50.132494275395025</v>
      </c>
      <c r="F6" s="3">
        <v>1.0256022249645826</v>
      </c>
      <c r="G6" s="3">
        <v>15.709314927133429</v>
      </c>
      <c r="H6" s="3">
        <v>7.4436343743935955</v>
      </c>
      <c r="I6" s="3">
        <v>2.3483414601248702</v>
      </c>
      <c r="J6" s="3">
        <v>0.14222837120561277</v>
      </c>
      <c r="K6" s="3">
        <v>9.0845141903487221</v>
      </c>
      <c r="L6" s="3">
        <v>12.137777646913099</v>
      </c>
      <c r="M6" s="3">
        <v>2.1487566136875924</v>
      </c>
      <c r="N6" s="3">
        <v>6.2529297019378871E-2</v>
      </c>
      <c r="O6" s="3">
        <v>0</v>
      </c>
      <c r="P6" s="3">
        <v>100.23519338118592</v>
      </c>
      <c r="Q6" s="3">
        <f t="shared" si="0"/>
        <v>2.1755602676089838</v>
      </c>
      <c r="R6" s="4">
        <v>86.356396913332148</v>
      </c>
      <c r="S6" s="4">
        <f t="shared" si="1"/>
        <v>6.3294421836206309</v>
      </c>
      <c r="T6" s="13">
        <f t="shared" si="2"/>
        <v>0.3437206952042175</v>
      </c>
    </row>
    <row r="7" spans="1:50">
      <c r="A7" s="1" t="s">
        <v>111</v>
      </c>
      <c r="B7" s="1" t="s">
        <v>15</v>
      </c>
      <c r="C7" s="2">
        <v>1175</v>
      </c>
      <c r="D7" s="11">
        <v>0.12245301261396335</v>
      </c>
      <c r="E7" s="3">
        <v>50.331008806437708</v>
      </c>
      <c r="F7" s="3">
        <v>1.0822358270636003</v>
      </c>
      <c r="G7" s="3">
        <v>15.962607374402044</v>
      </c>
      <c r="H7" s="3">
        <v>5.8933557328675992</v>
      </c>
      <c r="I7" s="3">
        <v>4.161668508594814</v>
      </c>
      <c r="J7" s="3">
        <v>0.14134162871438291</v>
      </c>
      <c r="K7" s="3">
        <v>8.6436999478172929</v>
      </c>
      <c r="L7" s="3">
        <v>11.856662342341179</v>
      </c>
      <c r="M7" s="3">
        <v>2.2800046528234401</v>
      </c>
      <c r="N7" s="3">
        <v>6.4218656852655764E-2</v>
      </c>
      <c r="O7" s="3">
        <v>0</v>
      </c>
      <c r="P7" s="3">
        <v>100.41680347791473</v>
      </c>
      <c r="Q7" s="3">
        <f t="shared" si="0"/>
        <v>2.6145169986759247</v>
      </c>
      <c r="R7" s="4">
        <v>88.360420893158931</v>
      </c>
      <c r="S7" s="4">
        <f t="shared" si="1"/>
        <v>7.5913759494298043</v>
      </c>
      <c r="T7" s="13">
        <f t="shared" si="2"/>
        <v>0.34440620726632615</v>
      </c>
    </row>
    <row r="8" spans="1:50">
      <c r="A8" s="1" t="s">
        <v>111</v>
      </c>
      <c r="B8" s="1" t="s">
        <v>16</v>
      </c>
      <c r="C8" s="2">
        <v>1210</v>
      </c>
      <c r="D8" s="11">
        <v>0.66245301261396339</v>
      </c>
      <c r="E8" s="3">
        <v>49.954380574443306</v>
      </c>
      <c r="F8" s="3">
        <v>1.0479312261579368</v>
      </c>
      <c r="G8" s="3">
        <v>15.628467053087434</v>
      </c>
      <c r="H8" s="3">
        <v>6.9621053823316332</v>
      </c>
      <c r="I8" s="3">
        <v>2.8157653837393961</v>
      </c>
      <c r="J8" s="3">
        <v>0.15883745810633804</v>
      </c>
      <c r="K8" s="3">
        <v>9.290582718064643</v>
      </c>
      <c r="L8" s="3">
        <v>12.149092202666123</v>
      </c>
      <c r="M8" s="3">
        <v>2.2031803902115303</v>
      </c>
      <c r="N8" s="3">
        <v>7.1664888443694549E-2</v>
      </c>
      <c r="O8" s="3">
        <v>0</v>
      </c>
      <c r="P8" s="3">
        <v>100.28200727725201</v>
      </c>
      <c r="Q8" s="3">
        <f t="shared" si="0"/>
        <v>2.3787938414702565</v>
      </c>
      <c r="R8" s="4">
        <v>87.150371947468358</v>
      </c>
      <c r="S8" s="4">
        <f t="shared" si="1"/>
        <v>6.7823264293084291</v>
      </c>
      <c r="T8" s="13">
        <f t="shared" si="2"/>
        <v>0.35073420105390213</v>
      </c>
    </row>
    <row r="9" spans="1:50">
      <c r="A9" s="1" t="s">
        <v>111</v>
      </c>
      <c r="B9" s="1" t="s">
        <v>17</v>
      </c>
      <c r="C9" s="2">
        <v>1175</v>
      </c>
      <c r="D9" s="11">
        <v>0.60347682791224067</v>
      </c>
      <c r="E9" s="3">
        <v>50.283673422642757</v>
      </c>
      <c r="F9" s="3">
        <v>1.071851121994458</v>
      </c>
      <c r="G9" s="3">
        <v>15.908109454000121</v>
      </c>
      <c r="H9" s="3">
        <v>5.3472892179996485</v>
      </c>
      <c r="I9" s="3">
        <v>4.6601502336013088</v>
      </c>
      <c r="J9" s="3">
        <v>0.16283658672881229</v>
      </c>
      <c r="K9" s="3">
        <v>8.948809079672241</v>
      </c>
      <c r="L9" s="3">
        <v>11.780626718927644</v>
      </c>
      <c r="M9" s="3">
        <v>2.2322164212997007</v>
      </c>
      <c r="N9" s="3">
        <v>7.1165648289283248E-2</v>
      </c>
      <c r="O9" s="3">
        <v>0</v>
      </c>
      <c r="P9" s="3">
        <v>100.46672790515598</v>
      </c>
      <c r="Q9" s="3">
        <f t="shared" si="0"/>
        <v>2.9832250153710844</v>
      </c>
      <c r="R9" s="4">
        <v>89.32412062422425</v>
      </c>
      <c r="S9" s="4">
        <f t="shared" si="1"/>
        <v>8.3669098797525159</v>
      </c>
      <c r="T9" s="13">
        <f t="shared" si="2"/>
        <v>0.35655039414137024</v>
      </c>
    </row>
    <row r="10" spans="1:50">
      <c r="A10" s="1" t="s">
        <v>111</v>
      </c>
      <c r="B10" s="1" t="s">
        <v>18</v>
      </c>
      <c r="C10" s="2">
        <v>1175</v>
      </c>
      <c r="D10" s="11">
        <v>1.4134768279122403</v>
      </c>
      <c r="E10" s="3">
        <v>50.351716474882735</v>
      </c>
      <c r="F10" s="3">
        <v>1.5502055629456755</v>
      </c>
      <c r="G10" s="3">
        <v>14.856541417257104</v>
      </c>
      <c r="H10" s="3">
        <v>8.0275493563816749</v>
      </c>
      <c r="I10" s="3">
        <v>3.7523930469276436</v>
      </c>
      <c r="J10" s="3">
        <v>0.2262482090916674</v>
      </c>
      <c r="K10" s="3">
        <v>7.5604554040795042</v>
      </c>
      <c r="L10" s="3">
        <v>11.54358292881221</v>
      </c>
      <c r="M10" s="3">
        <v>2.4133253964452166</v>
      </c>
      <c r="N10" s="3">
        <v>9.3795526422367312E-2</v>
      </c>
      <c r="O10" s="3">
        <v>0</v>
      </c>
      <c r="P10" s="3">
        <v>100.37581332324581</v>
      </c>
      <c r="Q10" s="3">
        <f t="shared" si="0"/>
        <v>1.6788790716409348</v>
      </c>
      <c r="R10" s="4">
        <v>82.318818827668352</v>
      </c>
      <c r="S10" s="4">
        <f t="shared" si="1"/>
        <v>4.6557307470207219</v>
      </c>
      <c r="T10" s="13">
        <f t="shared" si="2"/>
        <v>0.36060484655717623</v>
      </c>
    </row>
    <row r="11" spans="1:50">
      <c r="A11" s="1" t="s">
        <v>111</v>
      </c>
      <c r="B11" s="1" t="s">
        <v>19</v>
      </c>
      <c r="C11" s="2">
        <v>1210</v>
      </c>
      <c r="D11" s="11">
        <v>1.0360419784529915</v>
      </c>
      <c r="E11" s="3">
        <v>49.839067006646317</v>
      </c>
      <c r="F11" s="3">
        <v>1.1070239239783193</v>
      </c>
      <c r="G11" s="3">
        <v>15.37143971830257</v>
      </c>
      <c r="H11" s="3">
        <v>7.6840068696425261</v>
      </c>
      <c r="I11" s="3">
        <v>2.1540695276455444</v>
      </c>
      <c r="J11" s="3">
        <v>0.11057300903892051</v>
      </c>
      <c r="K11" s="3">
        <v>9.2321993379553042</v>
      </c>
      <c r="L11" s="3">
        <v>12.447176755582893</v>
      </c>
      <c r="M11" s="3">
        <v>2.1396026537522168</v>
      </c>
      <c r="N11" s="3">
        <v>0.13057766683984132</v>
      </c>
      <c r="O11" s="3">
        <v>0</v>
      </c>
      <c r="P11" s="3">
        <v>100.21573646938445</v>
      </c>
      <c r="Q11" s="3">
        <f t="shared" si="0"/>
        <v>2.1417652721005158</v>
      </c>
      <c r="R11" s="4">
        <v>85.361785107418541</v>
      </c>
      <c r="S11" s="4">
        <f t="shared" si="1"/>
        <v>5.8314340740194543</v>
      </c>
      <c r="T11" s="13">
        <f t="shared" si="2"/>
        <v>0.36727934242498489</v>
      </c>
    </row>
    <row r="12" spans="1:50">
      <c r="A12" s="1" t="s">
        <v>111</v>
      </c>
      <c r="B12" s="1" t="s">
        <v>20</v>
      </c>
      <c r="C12" s="2">
        <v>1155</v>
      </c>
      <c r="D12" s="11">
        <v>1.6460419784529909</v>
      </c>
      <c r="E12" s="3">
        <v>50.50825316905204</v>
      </c>
      <c r="F12" s="3">
        <v>1.088295704686427</v>
      </c>
      <c r="G12" s="3">
        <v>15.983244306609222</v>
      </c>
      <c r="H12" s="3">
        <v>5.1080382190745368</v>
      </c>
      <c r="I12" s="3">
        <v>4.9248615912075859</v>
      </c>
      <c r="J12" s="3">
        <v>0.14398784766294359</v>
      </c>
      <c r="K12" s="3">
        <v>8.7117250374186366</v>
      </c>
      <c r="L12" s="3">
        <v>11.714543631754402</v>
      </c>
      <c r="M12" s="3">
        <v>2.2363118982564969</v>
      </c>
      <c r="N12" s="3">
        <v>7.3978129148037447E-2</v>
      </c>
      <c r="O12" s="3">
        <v>0</v>
      </c>
      <c r="P12" s="3">
        <v>100.49323953487033</v>
      </c>
      <c r="Q12" s="3">
        <f t="shared" si="0"/>
        <v>3.0402161755145185</v>
      </c>
      <c r="R12" s="4">
        <v>88.962781370040332</v>
      </c>
      <c r="S12" s="4">
        <f t="shared" si="1"/>
        <v>8.0602536157576701</v>
      </c>
      <c r="T12" s="13">
        <f t="shared" si="2"/>
        <v>0.37718616813383432</v>
      </c>
    </row>
    <row r="13" spans="1:50">
      <c r="A13" s="1" t="s">
        <v>111</v>
      </c>
      <c r="B13" s="1" t="s">
        <v>21</v>
      </c>
      <c r="C13" s="2">
        <v>1190</v>
      </c>
      <c r="D13" s="11">
        <v>1.6460419784529909</v>
      </c>
      <c r="E13" s="3">
        <v>50.060027306342647</v>
      </c>
      <c r="F13" s="3">
        <v>1.0723783603755073</v>
      </c>
      <c r="G13" s="3">
        <v>15.917230282152161</v>
      </c>
      <c r="H13" s="3">
        <v>6.5535342081647974</v>
      </c>
      <c r="I13" s="3">
        <v>3.1859756074795245</v>
      </c>
      <c r="J13" s="3">
        <v>0.16354212018402187</v>
      </c>
      <c r="K13" s="3">
        <v>8.6838583601347459</v>
      </c>
      <c r="L13" s="3">
        <v>12.462845015940401</v>
      </c>
      <c r="M13" s="3">
        <v>2.1540360620281329</v>
      </c>
      <c r="N13" s="3">
        <v>6.5657609360798841E-2</v>
      </c>
      <c r="O13" s="3">
        <v>0</v>
      </c>
      <c r="P13" s="3">
        <v>100.31908493216272</v>
      </c>
      <c r="Q13" s="3">
        <f t="shared" si="0"/>
        <v>2.3620636936043171</v>
      </c>
      <c r="R13" s="4">
        <v>86.092425653994297</v>
      </c>
      <c r="S13" s="4">
        <f t="shared" si="1"/>
        <v>6.1903264733379118</v>
      </c>
      <c r="T13" s="13">
        <f t="shared" si="2"/>
        <v>0.38157336350156323</v>
      </c>
    </row>
    <row r="14" spans="1:50">
      <c r="A14" s="1" t="s">
        <v>111</v>
      </c>
      <c r="B14" s="1" t="s">
        <v>22</v>
      </c>
      <c r="C14" s="2">
        <v>1220</v>
      </c>
      <c r="D14" s="11">
        <v>1.8160419784529909</v>
      </c>
      <c r="E14" s="3">
        <v>49.871682918703506</v>
      </c>
      <c r="F14" s="3">
        <v>1.0658802200352844</v>
      </c>
      <c r="G14" s="3">
        <v>16.050623387014433</v>
      </c>
      <c r="H14" s="3">
        <v>7.4288581950329045</v>
      </c>
      <c r="I14" s="3">
        <v>1.8976234959813534</v>
      </c>
      <c r="J14" s="3">
        <v>0.19272575028172412</v>
      </c>
      <c r="K14" s="3">
        <v>9.4724820750069387</v>
      </c>
      <c r="L14" s="3">
        <v>11.992979283350705</v>
      </c>
      <c r="M14" s="3">
        <v>2.1407501271672373</v>
      </c>
      <c r="N14" s="3">
        <v>7.6447184070115151E-2</v>
      </c>
      <c r="O14" s="3">
        <v>0</v>
      </c>
      <c r="P14" s="3">
        <v>100.1900526366442</v>
      </c>
      <c r="Q14" s="3">
        <f t="shared" si="0"/>
        <v>2.2729828948026136</v>
      </c>
      <c r="R14" s="4">
        <v>85.514519037191661</v>
      </c>
      <c r="S14" s="4">
        <f t="shared" si="1"/>
        <v>5.903464252015608</v>
      </c>
      <c r="T14" s="13">
        <f t="shared" si="2"/>
        <v>0.38502526614378219</v>
      </c>
    </row>
    <row r="15" spans="1:50">
      <c r="A15" s="1" t="s">
        <v>111</v>
      </c>
      <c r="B15" s="1" t="s">
        <v>23</v>
      </c>
      <c r="C15" s="2">
        <v>1155</v>
      </c>
      <c r="D15" s="11">
        <v>0.8078499148217686</v>
      </c>
      <c r="E15" s="3">
        <v>50.341016426793111</v>
      </c>
      <c r="F15" s="3">
        <v>1.0711515627763337</v>
      </c>
      <c r="G15" s="3">
        <v>15.873033019945758</v>
      </c>
      <c r="H15" s="3">
        <v>4.7760861573078213</v>
      </c>
      <c r="I15" s="3">
        <v>5.1783794282630158</v>
      </c>
      <c r="J15" s="3">
        <v>0.13849918204000389</v>
      </c>
      <c r="K15" s="3">
        <v>9.2053910359074216</v>
      </c>
      <c r="L15" s="3">
        <v>11.62284065711288</v>
      </c>
      <c r="M15" s="3">
        <v>2.2340014771737153</v>
      </c>
      <c r="N15" s="3">
        <v>7.8231152892006328E-2</v>
      </c>
      <c r="O15" s="3">
        <v>0</v>
      </c>
      <c r="P15" s="3">
        <v>100.51863010021206</v>
      </c>
      <c r="Q15" s="3">
        <f t="shared" si="0"/>
        <v>3.4357735569836669</v>
      </c>
      <c r="R15" s="4">
        <v>89.804194874743956</v>
      </c>
      <c r="S15" s="4">
        <f t="shared" si="1"/>
        <v>8.8079552101569547</v>
      </c>
      <c r="T15" s="13">
        <f t="shared" si="2"/>
        <v>0.39007618397306115</v>
      </c>
    </row>
    <row r="16" spans="1:50">
      <c r="A16" s="1" t="s">
        <v>111</v>
      </c>
      <c r="B16" s="1" t="s">
        <v>24</v>
      </c>
      <c r="C16" s="2">
        <v>1190</v>
      </c>
      <c r="D16" s="11">
        <v>1.8478499148217686</v>
      </c>
      <c r="E16" s="3">
        <v>49.952925213950273</v>
      </c>
      <c r="F16" s="3">
        <v>1.0324822048672995</v>
      </c>
      <c r="G16" s="3">
        <v>15.813181783584112</v>
      </c>
      <c r="H16" s="3">
        <v>6.1159108391630506</v>
      </c>
      <c r="I16" s="3">
        <v>3.922076624049744</v>
      </c>
      <c r="J16" s="3">
        <v>0.15999201495949941</v>
      </c>
      <c r="K16" s="3">
        <v>8.930191345750444</v>
      </c>
      <c r="L16" s="3">
        <v>12.179064533225578</v>
      </c>
      <c r="M16" s="3">
        <v>2.2244342640979839</v>
      </c>
      <c r="N16" s="3">
        <v>6.254881448457425E-2</v>
      </c>
      <c r="O16" s="3">
        <v>0</v>
      </c>
      <c r="P16" s="3">
        <v>100.39280763813255</v>
      </c>
      <c r="Q16" s="3">
        <f t="shared" si="0"/>
        <v>2.6028794997706268</v>
      </c>
      <c r="R16" s="4">
        <v>86.783255490015819</v>
      </c>
      <c r="S16" s="4">
        <f t="shared" si="1"/>
        <v>6.5661597244660426</v>
      </c>
      <c r="T16" s="13">
        <f t="shared" si="2"/>
        <v>0.39640819124032073</v>
      </c>
    </row>
    <row r="17" spans="1:20">
      <c r="A17" s="1" t="s">
        <v>111</v>
      </c>
      <c r="B17" s="1" t="s">
        <v>25</v>
      </c>
      <c r="C17" s="2">
        <v>1200</v>
      </c>
      <c r="D17" s="11">
        <v>2.3278499148217682</v>
      </c>
      <c r="E17" s="3">
        <v>50.345535679026966</v>
      </c>
      <c r="F17" s="3">
        <v>1.0820202977530309</v>
      </c>
      <c r="G17" s="3">
        <v>15.728125946109598</v>
      </c>
      <c r="H17" s="3">
        <v>6.7499296849756245</v>
      </c>
      <c r="I17" s="3">
        <v>2.6728103019021847</v>
      </c>
      <c r="J17" s="3">
        <v>0.18494385867919813</v>
      </c>
      <c r="K17" s="3">
        <v>8.8858613381774152</v>
      </c>
      <c r="L17" s="3">
        <v>12.409667101054378</v>
      </c>
      <c r="M17" s="3">
        <v>2.1469283523542493</v>
      </c>
      <c r="N17" s="3">
        <v>6.1867340625781579E-2</v>
      </c>
      <c r="O17" s="3">
        <v>0</v>
      </c>
      <c r="P17" s="3">
        <v>100.26768990065845</v>
      </c>
      <c r="Q17" s="3">
        <f t="shared" si="0"/>
        <v>2.346684619676858</v>
      </c>
      <c r="R17" s="4">
        <v>85.524547633599212</v>
      </c>
      <c r="S17" s="4">
        <f t="shared" si="1"/>
        <v>5.9082469734839966</v>
      </c>
      <c r="T17" s="13">
        <f t="shared" si="2"/>
        <v>0.39718796966489306</v>
      </c>
    </row>
    <row r="18" spans="1:20">
      <c r="A18" s="1" t="s">
        <v>111</v>
      </c>
      <c r="B18" s="1" t="s">
        <v>26</v>
      </c>
      <c r="C18" s="2">
        <v>1190</v>
      </c>
      <c r="D18" s="11">
        <v>1.5159251096558117</v>
      </c>
      <c r="E18" s="3">
        <v>50.062930279940645</v>
      </c>
      <c r="F18" s="3">
        <v>1.0632163065871509</v>
      </c>
      <c r="G18" s="3">
        <v>15.733272802673184</v>
      </c>
      <c r="H18" s="3">
        <v>5.9491669862598711</v>
      </c>
      <c r="I18" s="3">
        <v>3.7953470600049748</v>
      </c>
      <c r="J18" s="3">
        <v>0.17100955679203247</v>
      </c>
      <c r="K18" s="3">
        <v>9.2037768368858526</v>
      </c>
      <c r="L18" s="3">
        <v>12.109770617232011</v>
      </c>
      <c r="M18" s="3">
        <v>2.2281182587250372</v>
      </c>
      <c r="N18" s="3">
        <v>6.350659029972075E-2</v>
      </c>
      <c r="O18" s="3">
        <v>0</v>
      </c>
      <c r="P18" s="3">
        <v>100.38011529540047</v>
      </c>
      <c r="Q18" s="3">
        <f t="shared" si="0"/>
        <v>2.7578101418706571</v>
      </c>
      <c r="R18" s="4">
        <v>86.893801118156588</v>
      </c>
      <c r="S18" s="4">
        <f t="shared" si="1"/>
        <v>6.6299773032236189</v>
      </c>
      <c r="T18" s="13">
        <f t="shared" si="2"/>
        <v>0.41596072139338369</v>
      </c>
    </row>
    <row r="19" spans="1:20">
      <c r="A19" s="1" t="s">
        <v>111</v>
      </c>
      <c r="B19" s="1" t="s">
        <v>27</v>
      </c>
      <c r="C19" s="2">
        <v>1130</v>
      </c>
      <c r="D19" s="11">
        <v>1.925925109655811</v>
      </c>
      <c r="E19" s="3">
        <v>50.731919017902996</v>
      </c>
      <c r="F19" s="3">
        <v>1.0842730884152951</v>
      </c>
      <c r="G19" s="3">
        <v>15.710586432170533</v>
      </c>
      <c r="H19" s="3">
        <v>4.0730140349842445</v>
      </c>
      <c r="I19" s="3">
        <v>5.5406249620035641</v>
      </c>
      <c r="J19" s="3">
        <v>0.15073809331833549</v>
      </c>
      <c r="K19" s="3">
        <v>8.8717005094793695</v>
      </c>
      <c r="L19" s="3">
        <v>12.186303986839878</v>
      </c>
      <c r="M19" s="3">
        <v>2.1331074780187342</v>
      </c>
      <c r="N19" s="3">
        <v>7.2642464599418394E-2</v>
      </c>
      <c r="O19" s="3">
        <v>0</v>
      </c>
      <c r="P19" s="3">
        <v>100.55491006773235</v>
      </c>
      <c r="Q19" s="3">
        <f t="shared" si="0"/>
        <v>3.8828034755288034</v>
      </c>
      <c r="R19" s="4">
        <v>90.238490179953189</v>
      </c>
      <c r="S19" s="4">
        <f t="shared" si="1"/>
        <v>9.2443168980513768</v>
      </c>
      <c r="T19" s="13">
        <f t="shared" si="2"/>
        <v>0.42002059409573739</v>
      </c>
    </row>
    <row r="20" spans="1:20">
      <c r="A20" s="1" t="s">
        <v>111</v>
      </c>
      <c r="B20" s="1" t="s">
        <v>127</v>
      </c>
      <c r="C20" s="2">
        <v>1170</v>
      </c>
      <c r="D20" s="11">
        <v>2.1959251096558114</v>
      </c>
      <c r="E20" s="3">
        <v>50.485445955186641</v>
      </c>
      <c r="F20" s="3">
        <v>1.0692921472518442</v>
      </c>
      <c r="G20" s="3">
        <v>15.837857374869792</v>
      </c>
      <c r="H20" s="3">
        <v>5.5902766933543298</v>
      </c>
      <c r="I20" s="3">
        <v>4.1152946512984281</v>
      </c>
      <c r="J20" s="3">
        <v>0.14154412767777169</v>
      </c>
      <c r="K20" s="3">
        <v>8.7061054528880781</v>
      </c>
      <c r="L20" s="3">
        <v>12.161680528140387</v>
      </c>
      <c r="M20" s="3">
        <v>2.2331935554558031</v>
      </c>
      <c r="N20" s="3">
        <v>7.1468512067796419E-2</v>
      </c>
      <c r="O20" s="3">
        <v>0</v>
      </c>
      <c r="P20" s="3">
        <v>100.41215899819088</v>
      </c>
      <c r="Q20" s="3">
        <f t="shared" si="0"/>
        <v>2.7761636473824547</v>
      </c>
      <c r="R20" s="4">
        <v>86.642258044922272</v>
      </c>
      <c r="S20" s="4">
        <f t="shared" si="1"/>
        <v>6.4862952388436153</v>
      </c>
      <c r="T20" s="13">
        <f t="shared" si="2"/>
        <v>0.4280045149282154</v>
      </c>
    </row>
    <row r="21" spans="1:20">
      <c r="A21" s="1" t="s">
        <v>111</v>
      </c>
      <c r="B21" s="1" t="s">
        <v>28</v>
      </c>
      <c r="C21" s="2">
        <v>1190</v>
      </c>
      <c r="D21" s="11">
        <v>2.215925109655811</v>
      </c>
      <c r="E21" s="3">
        <v>50.009040580922573</v>
      </c>
      <c r="F21" s="3">
        <v>1.0486305958964564</v>
      </c>
      <c r="G21" s="3">
        <v>15.568680990510288</v>
      </c>
      <c r="H21" s="3">
        <v>5.7913605113935818</v>
      </c>
      <c r="I21" s="3">
        <v>4.0008196034620882</v>
      </c>
      <c r="J21" s="3">
        <v>0.1729789240977298</v>
      </c>
      <c r="K21" s="3">
        <v>9.3801147528747801</v>
      </c>
      <c r="L21" s="3">
        <v>12.153769763626986</v>
      </c>
      <c r="M21" s="3">
        <v>2.2145036095414703</v>
      </c>
      <c r="N21" s="3">
        <v>6.0794649375958215E-2</v>
      </c>
      <c r="O21" s="3">
        <v>0</v>
      </c>
      <c r="P21" s="3">
        <v>100.40069398170191</v>
      </c>
      <c r="Q21" s="3">
        <f t="shared" si="0"/>
        <v>2.8872340754047499</v>
      </c>
      <c r="R21" s="4">
        <v>87.062905604007838</v>
      </c>
      <c r="S21" s="4">
        <f t="shared" si="1"/>
        <v>6.7297109334673655</v>
      </c>
      <c r="T21" s="13">
        <f t="shared" si="2"/>
        <v>0.42902794844371617</v>
      </c>
    </row>
    <row r="22" spans="1:20">
      <c r="A22" s="1" t="s">
        <v>111</v>
      </c>
      <c r="B22" s="1" t="s">
        <v>128</v>
      </c>
      <c r="C22" s="2">
        <v>1170</v>
      </c>
      <c r="D22" s="11">
        <v>2.522627892124369</v>
      </c>
      <c r="E22" s="3">
        <v>50.527273310613737</v>
      </c>
      <c r="F22" s="3">
        <v>1.0592280244942318</v>
      </c>
      <c r="G22" s="3">
        <v>15.792626480451741</v>
      </c>
      <c r="H22" s="3">
        <v>5.2255879381205492</v>
      </c>
      <c r="I22" s="3">
        <v>4.3162208949691951</v>
      </c>
      <c r="J22" s="3">
        <v>0.17105955155250732</v>
      </c>
      <c r="K22" s="3">
        <v>9.0215752827826527</v>
      </c>
      <c r="L22" s="3">
        <v>12.004812966841337</v>
      </c>
      <c r="M22" s="3">
        <v>2.2241979178920879</v>
      </c>
      <c r="N22" s="3">
        <v>8.9699991329987336E-2</v>
      </c>
      <c r="O22" s="3">
        <v>0</v>
      </c>
      <c r="P22" s="3">
        <v>100.43228235904803</v>
      </c>
      <c r="Q22" s="3">
        <f t="shared" si="0"/>
        <v>3.0775255043887331</v>
      </c>
      <c r="R22" s="4">
        <v>87.681114211209177</v>
      </c>
      <c r="S22" s="4">
        <f t="shared" si="1"/>
        <v>7.1176172678694538</v>
      </c>
      <c r="T22" s="13">
        <f t="shared" si="2"/>
        <v>0.43238142605410723</v>
      </c>
    </row>
    <row r="23" spans="1:20">
      <c r="A23" s="1" t="s">
        <v>111</v>
      </c>
      <c r="B23" s="1" t="s">
        <v>129</v>
      </c>
      <c r="C23" s="2">
        <v>1170</v>
      </c>
      <c r="D23" s="11">
        <v>2.7926278921243695</v>
      </c>
      <c r="E23" s="3">
        <v>50.396849987713502</v>
      </c>
      <c r="F23" s="3">
        <v>1.0756121521551811</v>
      </c>
      <c r="G23" s="3">
        <v>15.811856098772745</v>
      </c>
      <c r="H23" s="3">
        <v>5.2559766908341938</v>
      </c>
      <c r="I23" s="3">
        <v>4.3988470548525314</v>
      </c>
      <c r="J23" s="3">
        <v>0.20174141044749694</v>
      </c>
      <c r="K23" s="3">
        <v>8.9054872912501892</v>
      </c>
      <c r="L23" s="3">
        <v>12.075800473647332</v>
      </c>
      <c r="M23" s="3">
        <v>2.2541707040433865</v>
      </c>
      <c r="N23" s="3">
        <v>6.4215750973530911E-2</v>
      </c>
      <c r="O23" s="3">
        <v>0</v>
      </c>
      <c r="P23" s="3">
        <v>100.44055761469011</v>
      </c>
      <c r="Q23" s="3">
        <f t="shared" si="0"/>
        <v>3.0203599401220065</v>
      </c>
      <c r="R23" s="4">
        <v>87.091624334879768</v>
      </c>
      <c r="S23" s="4">
        <f t="shared" si="1"/>
        <v>6.7469081001578193</v>
      </c>
      <c r="T23" s="13">
        <f t="shared" si="2"/>
        <v>0.4476657893193115</v>
      </c>
    </row>
    <row r="24" spans="1:20">
      <c r="A24" s="1" t="s">
        <v>111</v>
      </c>
      <c r="B24" s="1" t="s">
        <v>29</v>
      </c>
      <c r="C24" s="2">
        <v>1200</v>
      </c>
      <c r="D24" s="11">
        <v>3.2356560105100467</v>
      </c>
      <c r="E24" s="3">
        <v>50.454956810211492</v>
      </c>
      <c r="F24" s="3">
        <v>1.0565761506773543</v>
      </c>
      <c r="G24" s="3">
        <v>16.014764943082319</v>
      </c>
      <c r="H24" s="3">
        <v>5.6944416926042303</v>
      </c>
      <c r="I24" s="3">
        <v>3.2018165484708172</v>
      </c>
      <c r="J24" s="3">
        <v>0.2038579041278322</v>
      </c>
      <c r="K24" s="3">
        <v>9.2430000612293508</v>
      </c>
      <c r="L24" s="3">
        <v>12.146914812570746</v>
      </c>
      <c r="M24" s="3">
        <v>2.2495273640110107</v>
      </c>
      <c r="N24" s="3">
        <v>5.4815162528764658E-2</v>
      </c>
      <c r="O24" s="3">
        <v>0</v>
      </c>
      <c r="P24" s="3">
        <v>100.32067144951392</v>
      </c>
      <c r="Q24" s="3">
        <f t="shared" si="0"/>
        <v>2.8934517810061893</v>
      </c>
      <c r="R24" s="4">
        <v>86.399228061553117</v>
      </c>
      <c r="S24" s="4">
        <f t="shared" si="1"/>
        <v>6.352523845894245</v>
      </c>
      <c r="T24" s="13">
        <f t="shared" si="2"/>
        <v>0.45548066425225325</v>
      </c>
    </row>
    <row r="25" spans="1:20">
      <c r="A25" s="1" t="s">
        <v>111</v>
      </c>
      <c r="B25" s="1" t="s">
        <v>30</v>
      </c>
      <c r="C25" s="2">
        <v>1170</v>
      </c>
      <c r="D25" s="11">
        <v>3.4656560105100471</v>
      </c>
      <c r="E25" s="3">
        <v>50.605057166655463</v>
      </c>
      <c r="F25" s="3">
        <v>1.1947025092926102</v>
      </c>
      <c r="G25" s="3">
        <v>15.821882286730482</v>
      </c>
      <c r="H25" s="3">
        <v>6.1281750684779031</v>
      </c>
      <c r="I25" s="3">
        <v>3.8090334185686463</v>
      </c>
      <c r="J25" s="3">
        <v>0.17991505658565807</v>
      </c>
      <c r="K25" s="3">
        <v>8.0144095367095272</v>
      </c>
      <c r="L25" s="3">
        <v>12.245388634996331</v>
      </c>
      <c r="M25" s="3">
        <v>2.3119074730980835</v>
      </c>
      <c r="N25" s="3">
        <v>7.1014873799082556E-2</v>
      </c>
      <c r="O25" s="3">
        <v>0</v>
      </c>
      <c r="P25" s="3">
        <v>100.38148602491378</v>
      </c>
      <c r="Q25" s="3">
        <f t="shared" si="0"/>
        <v>2.3312820044085321</v>
      </c>
      <c r="R25" s="4">
        <v>83.619854307166534</v>
      </c>
      <c r="S25" s="4">
        <f t="shared" si="1"/>
        <v>5.1049518041680999</v>
      </c>
      <c r="T25" s="13">
        <f t="shared" si="2"/>
        <v>0.45667071773431495</v>
      </c>
    </row>
    <row r="26" spans="1:20">
      <c r="A26" s="1" t="s">
        <v>111</v>
      </c>
      <c r="B26" s="1" t="s">
        <v>31</v>
      </c>
      <c r="C26" s="2">
        <v>1130</v>
      </c>
      <c r="D26" s="11">
        <v>-0.17754698738603647</v>
      </c>
      <c r="E26" s="3">
        <v>50.72118859299831</v>
      </c>
      <c r="F26" s="3">
        <v>1.0461442533824243</v>
      </c>
      <c r="G26" s="3">
        <v>15.698587342860234</v>
      </c>
      <c r="H26" s="3">
        <v>3.8505899375888903</v>
      </c>
      <c r="I26" s="3">
        <v>5.797246254263972</v>
      </c>
      <c r="J26" s="3">
        <v>0.16873648995124432</v>
      </c>
      <c r="K26" s="3">
        <v>9.114628418354922</v>
      </c>
      <c r="L26" s="3">
        <v>11.884837637587463</v>
      </c>
      <c r="M26" s="3">
        <v>2.2266538937794822</v>
      </c>
      <c r="N26" s="3">
        <v>7.1998632575588931E-2</v>
      </c>
      <c r="O26" s="3">
        <v>0</v>
      </c>
      <c r="P26" s="3">
        <v>100.58061145334253</v>
      </c>
      <c r="Q26" s="3">
        <f t="shared" si="0"/>
        <v>4.2195500286129883</v>
      </c>
      <c r="R26" s="4">
        <v>90.000251747915257</v>
      </c>
      <c r="S26" s="4">
        <f t="shared" si="1"/>
        <v>9.0002517542531173</v>
      </c>
      <c r="T26" s="13">
        <f t="shared" si="2"/>
        <v>0.46882577774771883</v>
      </c>
    </row>
    <row r="27" spans="1:20">
      <c r="A27" s="1" t="s">
        <v>112</v>
      </c>
      <c r="B27" s="1" t="s">
        <v>32</v>
      </c>
      <c r="C27" s="2">
        <v>1100</v>
      </c>
      <c r="D27" s="2">
        <v>2.7</v>
      </c>
      <c r="E27" s="3">
        <v>46.64</v>
      </c>
      <c r="F27" s="3">
        <v>1.47</v>
      </c>
      <c r="G27" s="3">
        <v>13.76</v>
      </c>
      <c r="H27" s="3">
        <v>3.52</v>
      </c>
      <c r="I27" s="3">
        <v>3.45</v>
      </c>
      <c r="J27" s="3">
        <v>0.12</v>
      </c>
      <c r="K27" s="3">
        <v>5.45</v>
      </c>
      <c r="L27" s="3">
        <v>7.58</v>
      </c>
      <c r="M27" s="3">
        <v>4.25</v>
      </c>
      <c r="N27" s="3">
        <v>2.82</v>
      </c>
      <c r="O27" s="3">
        <v>1.19</v>
      </c>
      <c r="P27" s="3">
        <v>90.274383291171802</v>
      </c>
      <c r="Q27" s="3">
        <f t="shared" si="0"/>
        <v>2.7599949192951754</v>
      </c>
      <c r="R27" s="4">
        <v>89.2</v>
      </c>
      <c r="S27" s="4">
        <f t="shared" si="1"/>
        <v>8.2592592592592613</v>
      </c>
      <c r="T27" s="13">
        <f t="shared" si="2"/>
        <v>0.3341697884348418</v>
      </c>
    </row>
    <row r="28" spans="1:20">
      <c r="A28" s="1" t="s">
        <v>113</v>
      </c>
      <c r="B28" s="1">
        <v>62</v>
      </c>
      <c r="C28" s="2">
        <v>1100</v>
      </c>
      <c r="D28" s="2">
        <v>3.52</v>
      </c>
      <c r="E28" s="3">
        <v>49.79</v>
      </c>
      <c r="F28" s="3">
        <v>0.82</v>
      </c>
      <c r="G28" s="3">
        <v>16.07</v>
      </c>
      <c r="H28" s="3">
        <v>3.7414245296270496</v>
      </c>
      <c r="I28" s="3">
        <v>5.6660469202254591</v>
      </c>
      <c r="J28" s="3">
        <v>0.19</v>
      </c>
      <c r="K28" s="3">
        <v>9.1</v>
      </c>
      <c r="L28" s="3">
        <v>12.79</v>
      </c>
      <c r="M28" s="3">
        <v>2.11</v>
      </c>
      <c r="N28" s="3">
        <v>0.12</v>
      </c>
      <c r="O28" s="3">
        <v>0.17</v>
      </c>
      <c r="P28" s="3">
        <v>100.54973940201867</v>
      </c>
      <c r="Q28" s="4">
        <f t="shared" si="0"/>
        <v>4.3356962306191704</v>
      </c>
      <c r="R28" s="4">
        <f>51.44/40.304/(50.44/40.304+6.71/71.846)*100</f>
        <v>94.900465188550697</v>
      </c>
      <c r="S28" s="4">
        <f t="shared" si="1"/>
        <v>18.609631799254196</v>
      </c>
      <c r="T28" s="13">
        <f t="shared" si="2"/>
        <v>0.23298130115572352</v>
      </c>
    </row>
    <row r="29" spans="1:20">
      <c r="A29" s="1" t="s">
        <v>113</v>
      </c>
      <c r="B29" s="1">
        <v>129</v>
      </c>
      <c r="C29" s="2">
        <v>1150</v>
      </c>
      <c r="D29" s="2">
        <v>-1.55</v>
      </c>
      <c r="E29" s="3">
        <v>50.6</v>
      </c>
      <c r="F29" s="3">
        <v>0.84</v>
      </c>
      <c r="G29" s="3">
        <v>16.7</v>
      </c>
      <c r="H29" s="3">
        <v>6.9128300326691852</v>
      </c>
      <c r="I29" s="3">
        <v>1.0303639846947343</v>
      </c>
      <c r="J29" s="3">
        <v>0.14000000000000001</v>
      </c>
      <c r="K29" s="3">
        <v>8.7100000000000009</v>
      </c>
      <c r="L29" s="3">
        <v>12.84</v>
      </c>
      <c r="M29" s="3">
        <v>2.2200000000000002</v>
      </c>
      <c r="N29" s="3">
        <v>0.05</v>
      </c>
      <c r="O29" s="3">
        <v>0.05</v>
      </c>
      <c r="P29" s="3">
        <v>100.08720336819741</v>
      </c>
      <c r="Q29" s="4">
        <f t="shared" si="0"/>
        <v>2.2460360358728937</v>
      </c>
      <c r="R29" s="4">
        <f>47.34/40.304/(47.34/40.304+11.28/71.846)*100</f>
        <v>88.209271537441253</v>
      </c>
      <c r="S29" s="4">
        <f t="shared" si="1"/>
        <v>7.4812401810073279</v>
      </c>
      <c r="T29" s="13">
        <f t="shared" si="2"/>
        <v>0.30022242055199883</v>
      </c>
    </row>
    <row r="30" spans="1:20">
      <c r="A30" s="1" t="s">
        <v>113</v>
      </c>
      <c r="B30" s="1">
        <v>45</v>
      </c>
      <c r="C30" s="2">
        <v>1100</v>
      </c>
      <c r="D30" s="2">
        <v>3.52</v>
      </c>
      <c r="E30" s="3">
        <v>50.15</v>
      </c>
      <c r="F30" s="3">
        <v>0.82</v>
      </c>
      <c r="G30" s="3">
        <v>16.29</v>
      </c>
      <c r="H30" s="3">
        <v>3.6345197213058396</v>
      </c>
      <c r="I30" s="3">
        <v>5.6181552337128204</v>
      </c>
      <c r="J30" s="3">
        <v>0.17</v>
      </c>
      <c r="K30" s="3">
        <v>8.9700000000000006</v>
      </c>
      <c r="L30" s="3">
        <v>12.47</v>
      </c>
      <c r="M30" s="3">
        <v>2.2599999999999998</v>
      </c>
      <c r="N30" s="3">
        <v>0.11</v>
      </c>
      <c r="O30" s="3">
        <v>0.08</v>
      </c>
      <c r="P30" s="3">
        <v>100.54960394818431</v>
      </c>
      <c r="Q30" s="4">
        <f t="shared" si="0"/>
        <v>4.3994648997258796</v>
      </c>
      <c r="R30" s="4">
        <f>51.34/40.304/(51.34/40.304+6.72/71.846)*100</f>
        <v>93.159525434318283</v>
      </c>
      <c r="S30" s="4">
        <f t="shared" si="1"/>
        <v>13.618868769967287</v>
      </c>
      <c r="T30" s="13">
        <f t="shared" si="2"/>
        <v>0.32304187477213259</v>
      </c>
    </row>
    <row r="31" spans="1:20">
      <c r="A31" s="1" t="s">
        <v>113</v>
      </c>
      <c r="B31" s="1">
        <v>65</v>
      </c>
      <c r="C31" s="2">
        <v>1150</v>
      </c>
      <c r="D31" s="2">
        <v>2.87</v>
      </c>
      <c r="E31" s="3">
        <v>49.88</v>
      </c>
      <c r="F31" s="3">
        <v>0.77</v>
      </c>
      <c r="G31" s="3">
        <v>16.29</v>
      </c>
      <c r="H31" s="3">
        <v>4.5229662333838769</v>
      </c>
      <c r="I31" s="3">
        <v>5.0420056248404981</v>
      </c>
      <c r="J31" s="3">
        <v>0.1</v>
      </c>
      <c r="K31" s="3">
        <v>9.2100000000000009</v>
      </c>
      <c r="L31" s="3">
        <v>12.41</v>
      </c>
      <c r="M31" s="3">
        <v>2.2000000000000002</v>
      </c>
      <c r="N31" s="3">
        <v>0.03</v>
      </c>
      <c r="O31" s="3">
        <v>0.04</v>
      </c>
      <c r="P31" s="3">
        <v>100.46577818764399</v>
      </c>
      <c r="Q31" s="4">
        <f t="shared" si="0"/>
        <v>3.6298671331243977</v>
      </c>
      <c r="R31" s="4">
        <f>50.45/40.304/(50.45/40.304+8.41/71.846)*100</f>
        <v>91.448235880176171</v>
      </c>
      <c r="S31" s="4">
        <f t="shared" si="1"/>
        <v>10.693493716482449</v>
      </c>
      <c r="T31" s="13">
        <f t="shared" si="2"/>
        <v>0.33944632403248071</v>
      </c>
    </row>
    <row r="32" spans="1:20">
      <c r="A32" s="1" t="s">
        <v>113</v>
      </c>
      <c r="B32" s="1">
        <v>134</v>
      </c>
      <c r="C32" s="2">
        <v>1100</v>
      </c>
      <c r="D32" s="2">
        <v>-0.71</v>
      </c>
      <c r="E32" s="3">
        <v>50.32</v>
      </c>
      <c r="F32" s="3">
        <v>0.8</v>
      </c>
      <c r="G32" s="3">
        <v>16.899999999999999</v>
      </c>
      <c r="H32" s="3">
        <v>6.7192071193908136</v>
      </c>
      <c r="I32" s="3">
        <v>1.5011361282209892</v>
      </c>
      <c r="J32" s="3">
        <v>0.19</v>
      </c>
      <c r="K32" s="3">
        <v>8.11</v>
      </c>
      <c r="L32" s="3">
        <v>13.23</v>
      </c>
      <c r="M32" s="3">
        <v>2.15</v>
      </c>
      <c r="N32" s="3">
        <v>0.09</v>
      </c>
      <c r="O32" s="3">
        <v>0.13</v>
      </c>
      <c r="P32" s="3">
        <v>100.1341966265575</v>
      </c>
      <c r="Q32" s="4">
        <f t="shared" si="0"/>
        <v>2.1515788652586512</v>
      </c>
      <c r="R32" s="4">
        <f>45.4/40.304/(45.4/40.304+13.48/71.846)*100</f>
        <v>85.721872812216176</v>
      </c>
      <c r="S32" s="4">
        <f t="shared" si="1"/>
        <v>6.0037196534821931</v>
      </c>
      <c r="T32" s="13">
        <f t="shared" si="2"/>
        <v>0.35837430617046262</v>
      </c>
    </row>
    <row r="33" spans="1:20">
      <c r="A33" s="1" t="s">
        <v>114</v>
      </c>
      <c r="B33" s="1" t="s">
        <v>33</v>
      </c>
      <c r="C33" s="2">
        <v>1000</v>
      </c>
      <c r="D33" s="12">
        <v>2.2000000000000002</v>
      </c>
      <c r="E33" s="3">
        <v>60.787951544254071</v>
      </c>
      <c r="F33" s="3">
        <v>0.89490341591181921</v>
      </c>
      <c r="G33" s="3">
        <v>18.989413947397139</v>
      </c>
      <c r="H33" s="3">
        <v>2.0259370308178988</v>
      </c>
      <c r="I33" s="3">
        <v>1.7508570900170148</v>
      </c>
      <c r="J33" s="3">
        <v>0</v>
      </c>
      <c r="K33" s="3">
        <v>3.3831714503983417</v>
      </c>
      <c r="L33" s="3">
        <v>6.1551893484666591</v>
      </c>
      <c r="M33" s="3">
        <v>4.5836516424751723</v>
      </c>
      <c r="N33" s="3">
        <v>1.6042780748663104</v>
      </c>
      <c r="O33" s="3">
        <v>0</v>
      </c>
      <c r="P33" s="3">
        <v>100.17535354460443</v>
      </c>
      <c r="Q33" s="3">
        <f t="shared" si="0"/>
        <v>2.9768195441833187</v>
      </c>
      <c r="R33" s="4">
        <f>49.2/40.304/(49.2/40.304+9.36/71.846)*100</f>
        <v>90.356880854728573</v>
      </c>
      <c r="S33" s="4">
        <f t="shared" si="1"/>
        <v>9.3700886086257391</v>
      </c>
      <c r="T33" s="13">
        <f t="shared" si="2"/>
        <v>0.31769385205631612</v>
      </c>
    </row>
    <row r="34" spans="1:20">
      <c r="A34" s="1" t="s">
        <v>114</v>
      </c>
      <c r="B34" s="1" t="s">
        <v>34</v>
      </c>
      <c r="C34" s="2">
        <v>1100</v>
      </c>
      <c r="D34" s="12">
        <v>2.1</v>
      </c>
      <c r="E34" s="3">
        <v>56.372549019607845</v>
      </c>
      <c r="F34" s="3">
        <v>0.67135549872122768</v>
      </c>
      <c r="G34" s="3">
        <v>18.968456947996589</v>
      </c>
      <c r="H34" s="3">
        <v>3.459465178811381</v>
      </c>
      <c r="I34" s="3">
        <v>2.6333426809727598</v>
      </c>
      <c r="J34" s="3">
        <v>0</v>
      </c>
      <c r="K34" s="3">
        <v>5.7544757033248084</v>
      </c>
      <c r="L34" s="3">
        <v>7.5873827791986352</v>
      </c>
      <c r="M34" s="3">
        <v>3.4100596760443311</v>
      </c>
      <c r="N34" s="3">
        <v>1.4066496163682864</v>
      </c>
      <c r="O34" s="3">
        <v>0</v>
      </c>
      <c r="P34" s="3">
        <v>100.26373710104586</v>
      </c>
      <c r="Q34" s="3">
        <f t="shared" si="0"/>
        <v>2.9651812206046162</v>
      </c>
      <c r="R34" s="4">
        <f>49.5/40.304/(49.5/40.304+10.69/71.846)*100</f>
        <v>89.194249890116623</v>
      </c>
      <c r="S34" s="4">
        <f t="shared" si="1"/>
        <v>8.2543320901467041</v>
      </c>
      <c r="T34" s="13">
        <f t="shared" si="2"/>
        <v>0.35922727462639753</v>
      </c>
    </row>
    <row r="35" spans="1:20">
      <c r="A35" s="1" t="s">
        <v>114</v>
      </c>
      <c r="B35" s="1" t="s">
        <v>35</v>
      </c>
      <c r="C35" s="2">
        <v>1050</v>
      </c>
      <c r="D35" s="12">
        <v>2.6</v>
      </c>
      <c r="E35" s="3">
        <v>57.307224250470178</v>
      </c>
      <c r="F35" s="3">
        <v>0.6969797543976104</v>
      </c>
      <c r="G35" s="3">
        <v>19.360548733266956</v>
      </c>
      <c r="H35" s="3">
        <v>1.089405865343354</v>
      </c>
      <c r="I35" s="3">
        <v>4.2726909772991801</v>
      </c>
      <c r="J35" s="3">
        <v>0</v>
      </c>
      <c r="K35" s="3">
        <v>5.7528487664564665</v>
      </c>
      <c r="L35" s="3">
        <v>7.0804292510233431</v>
      </c>
      <c r="M35" s="3">
        <v>3.429582918464432</v>
      </c>
      <c r="N35" s="3">
        <v>1.4382121916141166</v>
      </c>
      <c r="O35" s="3">
        <v>0</v>
      </c>
      <c r="P35" s="3">
        <v>100.42792270833563</v>
      </c>
      <c r="Q35" s="3">
        <f t="shared" si="0"/>
        <v>9.413425543689911</v>
      </c>
      <c r="R35" s="4">
        <f>53.9/40.304/(53.9/40.304+3.74/71.846)*100</f>
        <v>96.253340681182351</v>
      </c>
      <c r="S35" s="4">
        <f t="shared" si="1"/>
        <v>25.690443803563511</v>
      </c>
      <c r="T35" s="13">
        <f t="shared" si="2"/>
        <v>0.36641739689931624</v>
      </c>
    </row>
    <row r="36" spans="1:20">
      <c r="A36" s="1" t="s">
        <v>114</v>
      </c>
      <c r="B36" s="1" t="s">
        <v>36</v>
      </c>
      <c r="C36" s="2">
        <v>1075</v>
      </c>
      <c r="D36" s="12">
        <v>2</v>
      </c>
      <c r="E36" s="3">
        <v>62.613721502729327</v>
      </c>
      <c r="F36" s="3">
        <v>0.97399122337578947</v>
      </c>
      <c r="G36" s="3">
        <v>18.088408434121803</v>
      </c>
      <c r="H36" s="3">
        <v>2.8245322848827099</v>
      </c>
      <c r="I36" s="3">
        <v>2.8440138938798438</v>
      </c>
      <c r="J36" s="3">
        <v>0</v>
      </c>
      <c r="K36" s="3">
        <v>2.9968960719255056</v>
      </c>
      <c r="L36" s="3">
        <v>5.7262121374290915</v>
      </c>
      <c r="M36" s="3">
        <v>2.3547040565128978</v>
      </c>
      <c r="N36" s="3">
        <v>1.8623568446965646</v>
      </c>
      <c r="O36" s="3">
        <v>0</v>
      </c>
      <c r="P36" s="3">
        <v>100.28483644955354</v>
      </c>
      <c r="Q36" s="3">
        <f t="shared" si="0"/>
        <v>1.8913834438430257</v>
      </c>
      <c r="R36" s="4">
        <f>44.1/40.304/(44.1/40.304+15.29/71.846)*100</f>
        <v>83.717198174663537</v>
      </c>
      <c r="S36" s="4">
        <f t="shared" si="1"/>
        <v>5.1414491850166355</v>
      </c>
      <c r="T36" s="13">
        <f t="shared" si="2"/>
        <v>0.36786971450674877</v>
      </c>
    </row>
    <row r="37" spans="1:20">
      <c r="A37" s="1" t="s">
        <v>114</v>
      </c>
      <c r="B37" s="1" t="s">
        <v>37</v>
      </c>
      <c r="C37" s="2">
        <v>1050</v>
      </c>
      <c r="D37" s="12">
        <v>2.7</v>
      </c>
      <c r="E37" s="3">
        <v>59.409086095520493</v>
      </c>
      <c r="F37" s="3">
        <v>0.9319072328709096</v>
      </c>
      <c r="G37" s="3">
        <v>18.002753362278938</v>
      </c>
      <c r="H37" s="3">
        <v>3.149822892081191</v>
      </c>
      <c r="I37" s="3">
        <v>2.4309287288515216</v>
      </c>
      <c r="J37" s="3">
        <v>0</v>
      </c>
      <c r="K37" s="3">
        <v>3.282855024886159</v>
      </c>
      <c r="L37" s="3">
        <v>5.7185216562533094</v>
      </c>
      <c r="M37" s="3">
        <v>5.4008260086836808</v>
      </c>
      <c r="N37" s="3">
        <v>1.9167637403367572</v>
      </c>
      <c r="O37" s="3">
        <v>0</v>
      </c>
      <c r="P37" s="3">
        <v>100.24346474176298</v>
      </c>
      <c r="Q37" s="3">
        <f t="shared" si="0"/>
        <v>1.8578900674713541</v>
      </c>
      <c r="R37" s="4">
        <f>45.7/40.304/(45.7/40.304+16.3/71.846)*100</f>
        <v>83.327353273622066</v>
      </c>
      <c r="S37" s="4">
        <f t="shared" si="1"/>
        <v>4.9978479506669542</v>
      </c>
      <c r="T37" s="13">
        <f t="shared" si="2"/>
        <v>0.37173801320294708</v>
      </c>
    </row>
    <row r="38" spans="1:20">
      <c r="A38" s="1" t="s">
        <v>114</v>
      </c>
      <c r="B38" s="1" t="s">
        <v>38</v>
      </c>
      <c r="C38" s="2">
        <v>1125</v>
      </c>
      <c r="D38" s="12">
        <v>5.6</v>
      </c>
      <c r="E38" s="3">
        <v>56.316116988176731</v>
      </c>
      <c r="F38" s="3">
        <v>0.5185646131507986</v>
      </c>
      <c r="G38" s="3">
        <v>19.601742377100187</v>
      </c>
      <c r="H38" s="3">
        <v>3.1146320906493341</v>
      </c>
      <c r="I38" s="3">
        <v>2.7279657360061371</v>
      </c>
      <c r="J38" s="3">
        <v>0</v>
      </c>
      <c r="K38" s="3">
        <v>3.9410910599460696</v>
      </c>
      <c r="L38" s="3">
        <v>7.5503007674756288</v>
      </c>
      <c r="M38" s="3">
        <v>5.185646131507986</v>
      </c>
      <c r="N38" s="3">
        <v>1.3171541174030288</v>
      </c>
      <c r="O38" s="3">
        <v>0</v>
      </c>
      <c r="P38" s="3">
        <v>100.27321388141591</v>
      </c>
      <c r="Q38" s="3">
        <f t="shared" si="0"/>
        <v>2.2556107689278067</v>
      </c>
      <c r="R38" s="4">
        <f>45.9/40.304/(45.9/40.304+13.63/71.846)*100</f>
        <v>85.720488126079957</v>
      </c>
      <c r="S38" s="4">
        <f t="shared" si="1"/>
        <v>6.0030405018703048</v>
      </c>
      <c r="T38" s="13">
        <f t="shared" si="2"/>
        <v>0.37574471940095183</v>
      </c>
    </row>
    <row r="39" spans="1:20">
      <c r="A39" s="1" t="s">
        <v>114</v>
      </c>
      <c r="B39" s="1" t="s">
        <v>39</v>
      </c>
      <c r="C39" s="2">
        <v>1100</v>
      </c>
      <c r="D39" s="12">
        <v>1.6</v>
      </c>
      <c r="E39" s="3">
        <v>54.321507527108118</v>
      </c>
      <c r="F39" s="3">
        <v>0.80008421939151486</v>
      </c>
      <c r="G39" s="3">
        <v>19.79155700600063</v>
      </c>
      <c r="H39" s="3">
        <v>3.5738770054508038</v>
      </c>
      <c r="I39" s="3">
        <v>2.9659323345636497</v>
      </c>
      <c r="J39" s="3">
        <v>0</v>
      </c>
      <c r="K39" s="3">
        <v>4.7373407727129173</v>
      </c>
      <c r="L39" s="3">
        <v>8.2008632487630262</v>
      </c>
      <c r="M39" s="3">
        <v>4.6320665333192972</v>
      </c>
      <c r="N39" s="3">
        <v>1.2738182966628064</v>
      </c>
      <c r="O39" s="3">
        <v>0</v>
      </c>
      <c r="P39" s="3">
        <v>100.29704694397277</v>
      </c>
      <c r="Q39" s="3">
        <f t="shared" si="0"/>
        <v>2.36292244533356</v>
      </c>
      <c r="R39" s="4">
        <f>45.7/40.304/(45.7/40.304+13.02/71.846)*100</f>
        <v>86.220023491484881</v>
      </c>
      <c r="S39" s="4">
        <f t="shared" si="1"/>
        <v>6.2569064205738361</v>
      </c>
      <c r="T39" s="13">
        <f t="shared" si="2"/>
        <v>0.37765027739009249</v>
      </c>
    </row>
    <row r="40" spans="1:20">
      <c r="A40" s="1" t="s">
        <v>114</v>
      </c>
      <c r="B40" s="1" t="s">
        <v>40</v>
      </c>
      <c r="C40" s="2">
        <v>1150</v>
      </c>
      <c r="D40" s="12">
        <v>2</v>
      </c>
      <c r="E40" s="3">
        <v>55.901265297656089</v>
      </c>
      <c r="F40" s="3">
        <v>0.70524787388508625</v>
      </c>
      <c r="G40" s="3">
        <v>19.083177763949386</v>
      </c>
      <c r="H40" s="3">
        <v>3.2508158742212183</v>
      </c>
      <c r="I40" s="3">
        <v>2.795611422068605</v>
      </c>
      <c r="J40" s="3">
        <v>0</v>
      </c>
      <c r="K40" s="3">
        <v>5.7042107446587851</v>
      </c>
      <c r="L40" s="3">
        <v>6.6791122173822863</v>
      </c>
      <c r="M40" s="3">
        <v>4.874507363617508</v>
      </c>
      <c r="N40" s="3">
        <v>1.2860402406139806</v>
      </c>
      <c r="O40" s="3">
        <v>0</v>
      </c>
      <c r="P40" s="3">
        <v>100.27998879805294</v>
      </c>
      <c r="Q40" s="3">
        <f t="shared" si="0"/>
        <v>3.1279343856781097</v>
      </c>
      <c r="R40" s="4">
        <f>48.5/40.304/(48.5/40.304+11.13/71.846)*100</f>
        <v>88.594699754636181</v>
      </c>
      <c r="S40" s="4">
        <f t="shared" si="1"/>
        <v>7.7678533531503788</v>
      </c>
      <c r="T40" s="13">
        <f t="shared" si="2"/>
        <v>0.40267680702410857</v>
      </c>
    </row>
    <row r="41" spans="1:20">
      <c r="A41" s="1" t="s">
        <v>114</v>
      </c>
      <c r="B41" s="1" t="s">
        <v>41</v>
      </c>
      <c r="C41" s="2">
        <v>1000</v>
      </c>
      <c r="D41" s="12">
        <v>2</v>
      </c>
      <c r="E41" s="3">
        <v>58.389261744966447</v>
      </c>
      <c r="F41" s="3">
        <v>0.54809843400447422</v>
      </c>
      <c r="G41" s="3">
        <v>18.680089485458613</v>
      </c>
      <c r="H41" s="3">
        <v>3.0774203806893614</v>
      </c>
      <c r="I41" s="3">
        <v>2.7332338718795088</v>
      </c>
      <c r="J41" s="3">
        <v>0</v>
      </c>
      <c r="K41" s="3">
        <v>3.8031319910514538</v>
      </c>
      <c r="L41" s="3">
        <v>7.348993288590604</v>
      </c>
      <c r="M41" s="3">
        <v>4.3624161073825505</v>
      </c>
      <c r="N41" s="3">
        <v>1.3310961968680088</v>
      </c>
      <c r="O41" s="3">
        <v>0</v>
      </c>
      <c r="P41" s="3">
        <v>100.27374150089102</v>
      </c>
      <c r="Q41" s="3">
        <f t="shared" si="0"/>
        <v>2.2029721985818416</v>
      </c>
      <c r="R41" s="4">
        <f>44.8/40.304/(44.8/40.304+14.71/71.846)*100</f>
        <v>84.445479700998163</v>
      </c>
      <c r="S41" s="4">
        <f t="shared" si="1"/>
        <v>5.4289992926633159</v>
      </c>
      <c r="T41" s="13">
        <f t="shared" si="2"/>
        <v>0.40577868587290322</v>
      </c>
    </row>
    <row r="42" spans="1:20">
      <c r="A42" s="1" t="s">
        <v>114</v>
      </c>
      <c r="B42" s="1" t="s">
        <v>42</v>
      </c>
      <c r="C42" s="2">
        <v>1025</v>
      </c>
      <c r="D42" s="12">
        <v>2</v>
      </c>
      <c r="E42" s="3">
        <v>58.059587471352167</v>
      </c>
      <c r="F42" s="3">
        <v>1.0913456291607551</v>
      </c>
      <c r="G42" s="3">
        <v>19.207683073229294</v>
      </c>
      <c r="H42" s="3">
        <v>3.0144023328471437</v>
      </c>
      <c r="I42" s="3">
        <v>2.5564910642394802</v>
      </c>
      <c r="J42" s="3">
        <v>0</v>
      </c>
      <c r="K42" s="3">
        <v>3.6014405762304911</v>
      </c>
      <c r="L42" s="3">
        <v>7.1155735021281226</v>
      </c>
      <c r="M42" s="3">
        <v>4.2562479537269446</v>
      </c>
      <c r="N42" s="3">
        <v>1.3532685801593365</v>
      </c>
      <c r="O42" s="3">
        <v>0</v>
      </c>
      <c r="P42" s="3">
        <v>100.25604018307374</v>
      </c>
      <c r="Q42" s="3">
        <f t="shared" si="0"/>
        <v>2.1297541829803364</v>
      </c>
      <c r="R42" s="4">
        <f>42.4/40.304/(42.4/40.304+15.55/71.846)*100</f>
        <v>82.936901456183904</v>
      </c>
      <c r="S42" s="4">
        <f t="shared" si="1"/>
        <v>4.8606002739309844</v>
      </c>
      <c r="T42" s="13">
        <f t="shared" si="2"/>
        <v>0.43816690592783697</v>
      </c>
    </row>
    <row r="43" spans="1:20">
      <c r="A43" s="1" t="s">
        <v>114</v>
      </c>
      <c r="B43" s="1" t="s">
        <v>43</v>
      </c>
      <c r="C43" s="2">
        <v>1000</v>
      </c>
      <c r="D43" s="12">
        <v>2</v>
      </c>
      <c r="E43" s="3">
        <v>59.751972942502817</v>
      </c>
      <c r="F43" s="3">
        <v>0.5749718151071026</v>
      </c>
      <c r="G43" s="3">
        <v>18.827508455467868</v>
      </c>
      <c r="H43" s="3">
        <v>3.0889449120726362</v>
      </c>
      <c r="I43" s="3">
        <v>2.6311698371392702</v>
      </c>
      <c r="J43" s="3">
        <v>0</v>
      </c>
      <c r="K43" s="3">
        <v>3.8331454340473505</v>
      </c>
      <c r="L43" s="3">
        <v>5.8173618940248026</v>
      </c>
      <c r="M43" s="3">
        <v>4.2841037204058621</v>
      </c>
      <c r="N43" s="3">
        <v>1.4543404735062007</v>
      </c>
      <c r="O43" s="3">
        <v>0</v>
      </c>
      <c r="P43" s="3">
        <v>100.26351948427391</v>
      </c>
      <c r="Q43" s="3">
        <f t="shared" si="0"/>
        <v>2.2120736260170109</v>
      </c>
      <c r="R43" s="4">
        <f>43.8/40.304/(43.8/40.304+15.76/71.846)*100</f>
        <v>83.205094097960483</v>
      </c>
      <c r="S43" s="4">
        <f t="shared" si="1"/>
        <v>4.9541863814703682</v>
      </c>
      <c r="T43" s="13">
        <f t="shared" si="2"/>
        <v>0.44650593572551117</v>
      </c>
    </row>
    <row r="44" spans="1:20">
      <c r="A44" s="1" t="s">
        <v>114</v>
      </c>
      <c r="B44" s="1" t="s">
        <v>44</v>
      </c>
      <c r="C44" s="2">
        <v>1100</v>
      </c>
      <c r="D44" s="12">
        <v>2</v>
      </c>
      <c r="E44" s="3">
        <v>56.251283104085402</v>
      </c>
      <c r="F44" s="3">
        <v>0.8211866146581811</v>
      </c>
      <c r="G44" s="3">
        <v>18.681995483473617</v>
      </c>
      <c r="H44" s="3">
        <v>2.7486109751347216</v>
      </c>
      <c r="I44" s="3">
        <v>2.9457129263506445</v>
      </c>
      <c r="J44" s="3">
        <v>0</v>
      </c>
      <c r="K44" s="3">
        <v>5.645657975774995</v>
      </c>
      <c r="L44" s="3">
        <v>7.3085608704578116</v>
      </c>
      <c r="M44" s="3">
        <v>4.6191747074522684</v>
      </c>
      <c r="N44" s="3">
        <v>1.2728392527201806</v>
      </c>
      <c r="O44" s="3">
        <v>0</v>
      </c>
      <c r="P44" s="3">
        <v>100.29502191010783</v>
      </c>
      <c r="Q44" s="3">
        <f t="shared" si="0"/>
        <v>3.6614721215723702</v>
      </c>
      <c r="R44" s="4">
        <f>48.5/40.304/(48.5/40.304+11.02/71.846)*100</f>
        <v>88.694677145949456</v>
      </c>
      <c r="S44" s="4">
        <f t="shared" si="1"/>
        <v>7.8453909093070573</v>
      </c>
      <c r="T44" s="13">
        <f t="shared" si="2"/>
        <v>0.4667035924530839</v>
      </c>
    </row>
    <row r="45" spans="1:20">
      <c r="A45" s="1" t="s">
        <v>115</v>
      </c>
      <c r="B45" s="1" t="s">
        <v>45</v>
      </c>
      <c r="C45" s="2">
        <v>1173</v>
      </c>
      <c r="D45" s="2">
        <v>0</v>
      </c>
      <c r="E45" s="3">
        <v>48</v>
      </c>
      <c r="F45" s="3">
        <v>0.57999999999999996</v>
      </c>
      <c r="G45" s="3">
        <v>18.68</v>
      </c>
      <c r="H45" s="3">
        <v>6.2402458723732082</v>
      </c>
      <c r="I45" s="3">
        <v>1.7000157620316532</v>
      </c>
      <c r="J45" s="3">
        <v>0.16</v>
      </c>
      <c r="K45" s="3">
        <v>10.73</v>
      </c>
      <c r="L45" s="3">
        <v>11.7</v>
      </c>
      <c r="M45" s="3">
        <v>2.29</v>
      </c>
      <c r="N45" s="3">
        <v>0.08</v>
      </c>
      <c r="O45" s="3">
        <v>0.05</v>
      </c>
      <c r="P45" s="3">
        <v>100.21026163440486</v>
      </c>
      <c r="Q45" s="3">
        <f t="shared" si="0"/>
        <v>3.0651551629705311</v>
      </c>
      <c r="R45" s="4">
        <v>89.5</v>
      </c>
      <c r="S45" s="4">
        <f t="shared" si="1"/>
        <v>8.5238095238095237</v>
      </c>
      <c r="T45" s="13">
        <f t="shared" si="2"/>
        <v>0.35959920906358189</v>
      </c>
    </row>
    <row r="46" spans="1:20">
      <c r="A46" s="1" t="s">
        <v>115</v>
      </c>
      <c r="B46" s="1" t="s">
        <v>46</v>
      </c>
      <c r="C46" s="2">
        <v>1130</v>
      </c>
      <c r="D46" s="2">
        <v>0</v>
      </c>
      <c r="E46" s="3">
        <v>58.5</v>
      </c>
      <c r="F46" s="3">
        <v>0.56000000000000005</v>
      </c>
      <c r="G46" s="3">
        <v>15.1</v>
      </c>
      <c r="H46" s="3">
        <v>4.2372764541013312</v>
      </c>
      <c r="I46" s="3">
        <v>1.2587956765571906</v>
      </c>
      <c r="J46" s="3">
        <v>0.08</v>
      </c>
      <c r="K46" s="3">
        <v>8.16</v>
      </c>
      <c r="L46" s="3">
        <v>8.36</v>
      </c>
      <c r="M46" s="3">
        <v>3.07</v>
      </c>
      <c r="N46" s="3">
        <v>0.68</v>
      </c>
      <c r="O46" s="3">
        <v>0.12</v>
      </c>
      <c r="P46" s="3">
        <v>100.12607213065851</v>
      </c>
      <c r="Q46" s="3">
        <f t="shared" si="0"/>
        <v>3.4328735210214112</v>
      </c>
      <c r="R46" s="4">
        <v>90.4</v>
      </c>
      <c r="S46" s="4">
        <f t="shared" si="1"/>
        <v>9.4166666666666732</v>
      </c>
      <c r="T46" s="13">
        <f t="shared" si="2"/>
        <v>0.36455294028545937</v>
      </c>
    </row>
    <row r="47" spans="1:20">
      <c r="A47" s="1" t="s">
        <v>115</v>
      </c>
      <c r="B47" s="1" t="s">
        <v>47</v>
      </c>
      <c r="C47" s="2">
        <v>1190</v>
      </c>
      <c r="D47" s="2">
        <v>0</v>
      </c>
      <c r="E47" s="3">
        <v>48.4</v>
      </c>
      <c r="F47" s="3">
        <v>0.59</v>
      </c>
      <c r="G47" s="3">
        <v>18.79</v>
      </c>
      <c r="H47" s="3">
        <v>5.7708690473764426</v>
      </c>
      <c r="I47" s="3">
        <v>1.5437412276505595</v>
      </c>
      <c r="J47" s="3">
        <v>0.16</v>
      </c>
      <c r="K47" s="3">
        <v>10.61</v>
      </c>
      <c r="L47" s="3">
        <v>11.76</v>
      </c>
      <c r="M47" s="3">
        <v>2.25</v>
      </c>
      <c r="N47" s="3">
        <v>0.09</v>
      </c>
      <c r="O47" s="3">
        <v>0.04</v>
      </c>
      <c r="P47" s="3">
        <v>100.00461027502701</v>
      </c>
      <c r="Q47" s="3">
        <f t="shared" si="0"/>
        <v>3.2773936528218717</v>
      </c>
      <c r="R47" s="4">
        <v>89.9</v>
      </c>
      <c r="S47" s="4">
        <f t="shared" si="1"/>
        <v>8.9009900990099062</v>
      </c>
      <c r="T47" s="13">
        <f t="shared" si="2"/>
        <v>0.36820551605673951</v>
      </c>
    </row>
    <row r="48" spans="1:20">
      <c r="A48" s="1" t="s">
        <v>115</v>
      </c>
      <c r="B48" s="1" t="s">
        <v>48</v>
      </c>
      <c r="C48" s="2">
        <v>1150</v>
      </c>
      <c r="D48" s="2">
        <v>0</v>
      </c>
      <c r="E48" s="3">
        <v>57.7</v>
      </c>
      <c r="F48" s="3">
        <v>0.56000000000000005</v>
      </c>
      <c r="G48" s="3">
        <v>14.8</v>
      </c>
      <c r="H48" s="3">
        <v>4.4320953981017484</v>
      </c>
      <c r="I48" s="3">
        <v>1.2867793840895267</v>
      </c>
      <c r="J48" s="3">
        <v>0.1</v>
      </c>
      <c r="K48" s="3">
        <v>9.17</v>
      </c>
      <c r="L48" s="3">
        <v>8.23</v>
      </c>
      <c r="M48" s="3">
        <v>3.06</v>
      </c>
      <c r="N48" s="3">
        <v>0.66</v>
      </c>
      <c r="O48" s="3">
        <v>0.14000000000000001</v>
      </c>
      <c r="P48" s="3">
        <v>100.13887478219128</v>
      </c>
      <c r="Q48" s="3">
        <f t="shared" si="0"/>
        <v>3.6882018362846036</v>
      </c>
      <c r="R48" s="4">
        <v>90.9</v>
      </c>
      <c r="S48" s="4">
        <f t="shared" si="1"/>
        <v>9.9890109890109962</v>
      </c>
      <c r="T48" s="13">
        <f t="shared" si="2"/>
        <v>0.36922592640472901</v>
      </c>
    </row>
    <row r="49" spans="1:20">
      <c r="A49" s="1" t="s">
        <v>115</v>
      </c>
      <c r="B49" s="1" t="s">
        <v>49</v>
      </c>
      <c r="C49" s="2">
        <v>1147</v>
      </c>
      <c r="D49" s="2">
        <v>0</v>
      </c>
      <c r="E49" s="3">
        <v>47</v>
      </c>
      <c r="F49" s="3">
        <v>1.19</v>
      </c>
      <c r="G49" s="3">
        <v>12.61</v>
      </c>
      <c r="H49" s="3">
        <v>7.1247155583269359</v>
      </c>
      <c r="I49" s="3">
        <v>2.0062126000312759</v>
      </c>
      <c r="J49" s="3">
        <v>0.16</v>
      </c>
      <c r="K49" s="3">
        <v>10.24</v>
      </c>
      <c r="L49" s="3">
        <v>11.98</v>
      </c>
      <c r="M49" s="3">
        <v>3.18</v>
      </c>
      <c r="N49" s="3">
        <v>3.24</v>
      </c>
      <c r="O49" s="3">
        <v>1.43</v>
      </c>
      <c r="P49" s="3">
        <v>100.16092815835822</v>
      </c>
      <c r="Q49" s="3">
        <f t="shared" si="0"/>
        <v>2.5620456866176409</v>
      </c>
      <c r="R49" s="4">
        <v>87.4</v>
      </c>
      <c r="S49" s="4">
        <f t="shared" si="1"/>
        <v>6.9365079365079403</v>
      </c>
      <c r="T49" s="13">
        <f t="shared" si="2"/>
        <v>0.36935670081673061</v>
      </c>
    </row>
    <row r="50" spans="1:20">
      <c r="A50" s="1" t="s">
        <v>115</v>
      </c>
      <c r="B50" s="1" t="s">
        <v>50</v>
      </c>
      <c r="C50" s="2">
        <v>1220</v>
      </c>
      <c r="D50" s="2">
        <v>0</v>
      </c>
      <c r="E50" s="3">
        <v>48.1</v>
      </c>
      <c r="F50" s="3">
        <v>0.54</v>
      </c>
      <c r="G50" s="3">
        <v>18.61</v>
      </c>
      <c r="H50" s="3">
        <v>6.6244243100775098</v>
      </c>
      <c r="I50" s="3">
        <v>1.7509372642108625</v>
      </c>
      <c r="J50" s="3">
        <v>0.13</v>
      </c>
      <c r="K50" s="3">
        <v>10.220000000000001</v>
      </c>
      <c r="L50" s="3">
        <v>11.83</v>
      </c>
      <c r="M50" s="3">
        <v>2.2200000000000002</v>
      </c>
      <c r="N50" s="3">
        <v>0.08</v>
      </c>
      <c r="O50" s="3">
        <v>0.08</v>
      </c>
      <c r="P50" s="3">
        <v>100.18536157428836</v>
      </c>
      <c r="Q50" s="3">
        <f t="shared" si="0"/>
        <v>2.7501551632814825</v>
      </c>
      <c r="R50" s="4">
        <v>88.1</v>
      </c>
      <c r="S50" s="4">
        <f t="shared" si="1"/>
        <v>7.403361344537811</v>
      </c>
      <c r="T50" s="13">
        <f t="shared" si="2"/>
        <v>0.37147385292905405</v>
      </c>
    </row>
    <row r="51" spans="1:20">
      <c r="A51" s="1" t="s">
        <v>115</v>
      </c>
      <c r="B51" s="1" t="s">
        <v>51</v>
      </c>
      <c r="C51" s="2">
        <v>1204</v>
      </c>
      <c r="D51" s="2">
        <v>0</v>
      </c>
      <c r="E51" s="3">
        <v>47.9</v>
      </c>
      <c r="F51" s="3">
        <v>0.54</v>
      </c>
      <c r="G51" s="3">
        <v>18.66</v>
      </c>
      <c r="H51" s="3">
        <v>6.652852472352107</v>
      </c>
      <c r="I51" s="3">
        <v>1.7637970474751037</v>
      </c>
      <c r="J51" s="3">
        <v>0.14000000000000001</v>
      </c>
      <c r="K51" s="3">
        <v>10.41</v>
      </c>
      <c r="L51" s="3">
        <v>11.68</v>
      </c>
      <c r="M51" s="3">
        <v>2.0299999999999998</v>
      </c>
      <c r="N51" s="3">
        <v>0.08</v>
      </c>
      <c r="O51" s="3">
        <v>0.04</v>
      </c>
      <c r="P51" s="3">
        <v>99.896649519827207</v>
      </c>
      <c r="Q51" s="3">
        <f t="shared" si="0"/>
        <v>2.7893131885361213</v>
      </c>
      <c r="R51" s="4">
        <v>88.1</v>
      </c>
      <c r="S51" s="4">
        <f t="shared" si="1"/>
        <v>7.403361344537811</v>
      </c>
      <c r="T51" s="13">
        <f t="shared" si="2"/>
        <v>0.37676307540953308</v>
      </c>
    </row>
    <row r="52" spans="1:20">
      <c r="A52" s="1" t="s">
        <v>115</v>
      </c>
      <c r="B52" s="1" t="s">
        <v>52</v>
      </c>
      <c r="C52" s="2">
        <v>1144</v>
      </c>
      <c r="D52" s="2">
        <v>0</v>
      </c>
      <c r="E52" s="3">
        <v>48</v>
      </c>
      <c r="F52" s="3">
        <v>0.59</v>
      </c>
      <c r="G52" s="3">
        <v>18.72</v>
      </c>
      <c r="H52" s="3">
        <v>6.1693562473990564</v>
      </c>
      <c r="I52" s="3">
        <v>1.7232304022654283</v>
      </c>
      <c r="J52" s="3">
        <v>0.17</v>
      </c>
      <c r="K52" s="3">
        <v>10.68</v>
      </c>
      <c r="L52" s="3">
        <v>11.64</v>
      </c>
      <c r="M52" s="3">
        <v>2.3199999999999998</v>
      </c>
      <c r="N52" s="3">
        <v>0.08</v>
      </c>
      <c r="O52" s="3">
        <v>0.03</v>
      </c>
      <c r="P52" s="3">
        <v>100.12258664966447</v>
      </c>
      <c r="Q52" s="3">
        <f t="shared" si="0"/>
        <v>3.0859284144567574</v>
      </c>
      <c r="R52" s="4">
        <v>89.1</v>
      </c>
      <c r="S52" s="4">
        <f t="shared" si="1"/>
        <v>8.1743119266054993</v>
      </c>
      <c r="T52" s="13">
        <f t="shared" si="2"/>
        <v>0.37751537281233083</v>
      </c>
    </row>
    <row r="53" spans="1:20">
      <c r="A53" s="1" t="s">
        <v>115</v>
      </c>
      <c r="B53" s="1" t="s">
        <v>53</v>
      </c>
      <c r="C53" s="2">
        <v>1147</v>
      </c>
      <c r="D53" s="2">
        <v>0</v>
      </c>
      <c r="E53" s="3">
        <v>48.2</v>
      </c>
      <c r="F53" s="3">
        <v>0.59</v>
      </c>
      <c r="G53" s="3">
        <v>18.72</v>
      </c>
      <c r="H53" s="3">
        <v>6.0614212248712516</v>
      </c>
      <c r="I53" s="3">
        <v>1.6653705928005775</v>
      </c>
      <c r="J53" s="3">
        <v>0.15</v>
      </c>
      <c r="K53" s="3">
        <v>10.67</v>
      </c>
      <c r="L53" s="3">
        <v>11.68</v>
      </c>
      <c r="M53" s="3">
        <v>2.2400000000000002</v>
      </c>
      <c r="N53" s="3">
        <v>0.08</v>
      </c>
      <c r="O53" s="3">
        <v>0.06</v>
      </c>
      <c r="P53" s="3">
        <v>100.11679181767184</v>
      </c>
      <c r="Q53" s="3">
        <f t="shared" si="0"/>
        <v>3.1379382845857284</v>
      </c>
      <c r="R53" s="4">
        <v>88.5</v>
      </c>
      <c r="S53" s="4">
        <f t="shared" si="1"/>
        <v>7.6956521739130439</v>
      </c>
      <c r="T53" s="13">
        <f t="shared" si="2"/>
        <v>0.407754692347298</v>
      </c>
    </row>
    <row r="54" spans="1:20">
      <c r="A54" s="1" t="s">
        <v>116</v>
      </c>
      <c r="B54" s="1" t="s">
        <v>54</v>
      </c>
      <c r="C54" s="2">
        <v>1050</v>
      </c>
      <c r="D54" s="2">
        <v>0</v>
      </c>
      <c r="E54" s="3">
        <v>52.858053548661275</v>
      </c>
      <c r="F54" s="3">
        <v>1.0199745006374838</v>
      </c>
      <c r="G54" s="3">
        <v>18.943901402464935</v>
      </c>
      <c r="H54" s="3">
        <v>7.064292440155203</v>
      </c>
      <c r="I54" s="3">
        <v>2.1974362991433245</v>
      </c>
      <c r="J54" s="3">
        <v>0.13812154696132595</v>
      </c>
      <c r="K54" s="3">
        <v>4.3455163620909474</v>
      </c>
      <c r="L54" s="3">
        <v>10.62473438164046</v>
      </c>
      <c r="M54" s="3">
        <v>2.4436889077773052</v>
      </c>
      <c r="N54" s="3">
        <v>0.45686357841053965</v>
      </c>
      <c r="O54" s="3">
        <v>0.12749681257968548</v>
      </c>
      <c r="P54" s="3">
        <v>100.22007978052247</v>
      </c>
      <c r="Q54" s="3">
        <f t="shared" si="0"/>
        <v>1.0965467799107294</v>
      </c>
      <c r="R54" s="4">
        <f>41.42/40.304/(41.42/40.304+18.37/71.846)*100</f>
        <v>80.077085320890234</v>
      </c>
      <c r="S54" s="4">
        <f t="shared" si="1"/>
        <v>4.0193458944466247</v>
      </c>
      <c r="T54" s="13">
        <f t="shared" si="2"/>
        <v>0.27281722168420136</v>
      </c>
    </row>
    <row r="55" spans="1:20">
      <c r="A55" s="1" t="s">
        <v>116</v>
      </c>
      <c r="B55" s="1" t="s">
        <v>55</v>
      </c>
      <c r="C55" s="2">
        <v>1050</v>
      </c>
      <c r="D55" s="2">
        <v>0</v>
      </c>
      <c r="E55" s="3">
        <v>53.970964987190442</v>
      </c>
      <c r="F55" s="3">
        <v>0.99274124679760889</v>
      </c>
      <c r="G55" s="3">
        <v>16.05465414175918</v>
      </c>
      <c r="H55" s="3">
        <v>8.8972914454790253</v>
      </c>
      <c r="I55" s="3">
        <v>2.8055548757339484</v>
      </c>
      <c r="J55" s="3">
        <v>0.24551665243381723</v>
      </c>
      <c r="K55" s="3">
        <v>4.8249359521776256</v>
      </c>
      <c r="L55" s="3">
        <v>10.162254483347564</v>
      </c>
      <c r="M55" s="3">
        <v>1.5691716481639622</v>
      </c>
      <c r="N55" s="3">
        <v>0.57643040136635348</v>
      </c>
      <c r="O55" s="3">
        <v>0.18146883005977796</v>
      </c>
      <c r="P55" s="3">
        <v>100.28098466450929</v>
      </c>
      <c r="Q55" s="3">
        <f t="shared" si="0"/>
        <v>0.96669212280986971</v>
      </c>
      <c r="R55" s="4">
        <f>38.09/40.304/(38.09/40.304+22.5/71.846)*100</f>
        <v>75.110431882642004</v>
      </c>
      <c r="S55" s="4">
        <f t="shared" si="1"/>
        <v>3.0177474968020821</v>
      </c>
      <c r="T55" s="13">
        <f t="shared" si="2"/>
        <v>0.32033565559553173</v>
      </c>
    </row>
    <row r="56" spans="1:20">
      <c r="A56" s="1" t="s">
        <v>116</v>
      </c>
      <c r="B56" s="1" t="s">
        <v>56</v>
      </c>
      <c r="C56" s="2">
        <v>1050</v>
      </c>
      <c r="D56" s="2">
        <v>0</v>
      </c>
      <c r="E56" s="3">
        <v>53.539680839670133</v>
      </c>
      <c r="F56" s="3">
        <v>0.72828531648281047</v>
      </c>
      <c r="G56" s="3">
        <v>18.624825961229519</v>
      </c>
      <c r="H56" s="3">
        <v>5.9666882209981775</v>
      </c>
      <c r="I56" s="3">
        <v>1.8316195085256646</v>
      </c>
      <c r="J56" s="3">
        <v>0.16065117275356111</v>
      </c>
      <c r="K56" s="3">
        <v>5.740601906393918</v>
      </c>
      <c r="L56" s="3">
        <v>10.763628574488596</v>
      </c>
      <c r="M56" s="3">
        <v>2.2812466531005677</v>
      </c>
      <c r="N56" s="3">
        <v>0.47124344007711261</v>
      </c>
      <c r="O56" s="3">
        <v>7.4970547284995193E-2</v>
      </c>
      <c r="P56" s="3">
        <v>100.18344214100506</v>
      </c>
      <c r="Q56" s="3">
        <f t="shared" si="0"/>
        <v>1.7150568860431024</v>
      </c>
      <c r="R56" s="4">
        <f>43.87/40.304/(43.87/40.304+15.41/71.846)*100</f>
        <v>83.538568804332442</v>
      </c>
      <c r="S56" s="4">
        <f t="shared" si="1"/>
        <v>5.0748059394932046</v>
      </c>
      <c r="T56" s="13">
        <f t="shared" si="2"/>
        <v>0.33795516646186802</v>
      </c>
    </row>
    <row r="57" spans="1:20">
      <c r="A57" s="1" t="s">
        <v>116</v>
      </c>
      <c r="B57" s="1" t="s">
        <v>57</v>
      </c>
      <c r="C57" s="2">
        <v>1070</v>
      </c>
      <c r="D57" s="2">
        <v>0</v>
      </c>
      <c r="E57" s="3">
        <v>53.32977588046959</v>
      </c>
      <c r="F57" s="3">
        <v>0.72572038420490936</v>
      </c>
      <c r="G57" s="3">
        <v>17.705442902881536</v>
      </c>
      <c r="H57" s="3">
        <v>5.9140734204810466</v>
      </c>
      <c r="I57" s="3">
        <v>1.8247062163573016</v>
      </c>
      <c r="J57" s="3">
        <v>0.16008537886873</v>
      </c>
      <c r="K57" s="3">
        <v>6.5741728922091793</v>
      </c>
      <c r="L57" s="3">
        <v>11.355389541088583</v>
      </c>
      <c r="M57" s="3">
        <v>2.0917822838847386</v>
      </c>
      <c r="N57" s="3">
        <v>0.44823906083244403</v>
      </c>
      <c r="O57" s="3">
        <v>5.3361792956243347E-2</v>
      </c>
      <c r="P57" s="3">
        <v>100.18274975423431</v>
      </c>
      <c r="Q57" s="3">
        <f t="shared" si="0"/>
        <v>1.9815674205430449</v>
      </c>
      <c r="R57" s="4">
        <f>45.63/40.304/(45.63/40.304+13.89/71.846)*100</f>
        <v>85.414281569214353</v>
      </c>
      <c r="S57" s="4">
        <f t="shared" si="1"/>
        <v>5.8560215579736505</v>
      </c>
      <c r="T57" s="13">
        <f t="shared" si="2"/>
        <v>0.33838116901139337</v>
      </c>
    </row>
    <row r="58" spans="1:20">
      <c r="A58" s="1" t="s">
        <v>116</v>
      </c>
      <c r="B58" s="1" t="s">
        <v>58</v>
      </c>
      <c r="C58" s="2">
        <v>1040</v>
      </c>
      <c r="D58" s="2">
        <v>0</v>
      </c>
      <c r="E58" s="3">
        <v>54.06708820062159</v>
      </c>
      <c r="F58" s="3">
        <v>0.77162147679777093</v>
      </c>
      <c r="G58" s="3">
        <v>19.076197620833781</v>
      </c>
      <c r="H58" s="3">
        <v>6.0167440074901304</v>
      </c>
      <c r="I58" s="3">
        <v>1.8171632771993989</v>
      </c>
      <c r="J58" s="3">
        <v>0.16075447433286894</v>
      </c>
      <c r="K58" s="3">
        <v>5.1977280034294289</v>
      </c>
      <c r="L58" s="3">
        <v>10.363305111992286</v>
      </c>
      <c r="M58" s="3">
        <v>2.1326760261493947</v>
      </c>
      <c r="N58" s="3">
        <v>0.503697352909656</v>
      </c>
      <c r="O58" s="3">
        <v>7.5018754688672182E-2</v>
      </c>
      <c r="P58" s="3">
        <v>100.18199430644499</v>
      </c>
      <c r="Q58" s="3">
        <f t="shared" si="0"/>
        <v>1.5399494282075001</v>
      </c>
      <c r="R58" s="4">
        <f>43.01/40.304/(43.01/40.304+17.01/71.846)*100</f>
        <v>81.842388398872515</v>
      </c>
      <c r="S58" s="4">
        <f t="shared" si="1"/>
        <v>4.5073322525408885</v>
      </c>
      <c r="T58" s="13">
        <f t="shared" si="2"/>
        <v>0.34165429613922838</v>
      </c>
    </row>
    <row r="59" spans="1:20">
      <c r="A59" s="1" t="s">
        <v>116</v>
      </c>
      <c r="B59" s="1" t="s">
        <v>59</v>
      </c>
      <c r="C59" s="2">
        <v>1030</v>
      </c>
      <c r="D59" s="2">
        <v>0</v>
      </c>
      <c r="E59" s="3">
        <v>55.148790408906024</v>
      </c>
      <c r="F59" s="3">
        <v>0.83493898522800269</v>
      </c>
      <c r="G59" s="3">
        <v>18.614857632198671</v>
      </c>
      <c r="H59" s="3">
        <v>6.1644118355100153</v>
      </c>
      <c r="I59" s="3">
        <v>1.9166492642133477</v>
      </c>
      <c r="J59" s="3">
        <v>0.16056518946692355</v>
      </c>
      <c r="K59" s="3">
        <v>4.6028687647184752</v>
      </c>
      <c r="L59" s="3">
        <v>9.6017983301220298</v>
      </c>
      <c r="M59" s="3">
        <v>2.4834082637550843</v>
      </c>
      <c r="N59" s="3">
        <v>0.56733033611646333</v>
      </c>
      <c r="O59" s="3">
        <v>9.6339113680154145E-2</v>
      </c>
      <c r="P59" s="3">
        <v>100.19195812391519</v>
      </c>
      <c r="Q59" s="3">
        <f t="shared" si="0"/>
        <v>1.3310408700112646</v>
      </c>
      <c r="R59" s="4">
        <f>41.27/40.304/(41.27/40.304+18.99/71.846)*100</f>
        <v>79.483133513242279</v>
      </c>
      <c r="S59" s="4">
        <f t="shared" si="1"/>
        <v>3.8740386386265846</v>
      </c>
      <c r="T59" s="13">
        <f t="shared" si="2"/>
        <v>0.34357965786400679</v>
      </c>
    </row>
    <row r="60" spans="1:20">
      <c r="A60" s="1" t="s">
        <v>116</v>
      </c>
      <c r="B60" s="1" t="s">
        <v>60</v>
      </c>
      <c r="C60" s="2">
        <v>1040</v>
      </c>
      <c r="D60" s="2">
        <v>0</v>
      </c>
      <c r="E60" s="3">
        <v>51.662707838479818</v>
      </c>
      <c r="F60" s="3">
        <v>0.76657309436406829</v>
      </c>
      <c r="G60" s="3">
        <v>18.53811271863529</v>
      </c>
      <c r="H60" s="3">
        <v>7.3665775153703335</v>
      </c>
      <c r="I60" s="3">
        <v>2.2402088679765502</v>
      </c>
      <c r="J60" s="3">
        <v>0.22673288706542863</v>
      </c>
      <c r="K60" s="3">
        <v>6.0246167134528186</v>
      </c>
      <c r="L60" s="3">
        <v>11.552580436190887</v>
      </c>
      <c r="M60" s="3">
        <v>1.3819909306845175</v>
      </c>
      <c r="N60" s="3">
        <v>0.41027855754696618</v>
      </c>
      <c r="O60" s="3">
        <v>5.3984020729863968E-2</v>
      </c>
      <c r="P60" s="3">
        <v>100.22436358049654</v>
      </c>
      <c r="Q60" s="3">
        <f t="shared" si="0"/>
        <v>1.4578676630151581</v>
      </c>
      <c r="R60" s="4">
        <f>42.28/40.304/(42.28/40.304+17.8/71.846)*100</f>
        <v>80.894814338097092</v>
      </c>
      <c r="S60" s="4">
        <f t="shared" si="1"/>
        <v>4.2341810108345124</v>
      </c>
      <c r="T60" s="13">
        <f t="shared" si="2"/>
        <v>0.34430924405091218</v>
      </c>
    </row>
    <row r="61" spans="1:20">
      <c r="A61" s="1" t="s">
        <v>116</v>
      </c>
      <c r="B61" s="1" t="s">
        <v>61</v>
      </c>
      <c r="C61" s="2">
        <v>1070</v>
      </c>
      <c r="D61" s="2">
        <v>0</v>
      </c>
      <c r="E61" s="3">
        <v>52.399191403340772</v>
      </c>
      <c r="F61" s="3">
        <v>0.81923608894563238</v>
      </c>
      <c r="G61" s="3">
        <v>17.672092775827213</v>
      </c>
      <c r="H61" s="3">
        <v>7.2290074538267985</v>
      </c>
      <c r="I61" s="3">
        <v>2.2292873020181774</v>
      </c>
      <c r="J61" s="3">
        <v>0.14895201617193318</v>
      </c>
      <c r="K61" s="3">
        <v>6.1070326630492602</v>
      </c>
      <c r="L61" s="3">
        <v>11.44802638578572</v>
      </c>
      <c r="M61" s="3">
        <v>1.7235876157037981</v>
      </c>
      <c r="N61" s="3">
        <v>0.39365889988296626</v>
      </c>
      <c r="O61" s="3">
        <v>5.3197148632833278E-2</v>
      </c>
      <c r="P61" s="3">
        <v>100.22326975318511</v>
      </c>
      <c r="Q61" s="3">
        <f t="shared" si="0"/>
        <v>1.5059342615506544</v>
      </c>
      <c r="R61" s="4">
        <f>42.43/40.304/(42.43/40.304+17.41/71.846)*100</f>
        <v>81.288787141820436</v>
      </c>
      <c r="S61" s="4">
        <f t="shared" si="1"/>
        <v>4.3443889905985023</v>
      </c>
      <c r="T61" s="13">
        <f t="shared" si="2"/>
        <v>0.34663890936322211</v>
      </c>
    </row>
    <row r="62" spans="1:20">
      <c r="A62" s="1" t="s">
        <v>116</v>
      </c>
      <c r="B62" s="1" t="s">
        <v>62</v>
      </c>
      <c r="C62" s="2">
        <v>1050</v>
      </c>
      <c r="D62" s="2">
        <v>0</v>
      </c>
      <c r="E62" s="3">
        <v>51.235426248796671</v>
      </c>
      <c r="F62" s="3">
        <v>0.77013584340571195</v>
      </c>
      <c r="G62" s="3">
        <v>18.301422612044071</v>
      </c>
      <c r="H62" s="3">
        <v>7.5635363354837351</v>
      </c>
      <c r="I62" s="3">
        <v>2.3284521035355539</v>
      </c>
      <c r="J62" s="3">
        <v>0.22462295432666596</v>
      </c>
      <c r="K62" s="3">
        <v>6.1183014226120447</v>
      </c>
      <c r="L62" s="3">
        <v>11.733875280778697</v>
      </c>
      <c r="M62" s="3">
        <v>1.476093699860948</v>
      </c>
      <c r="N62" s="3">
        <v>0.42785324633650668</v>
      </c>
      <c r="O62" s="3">
        <v>5.3481655792063335E-2</v>
      </c>
      <c r="P62" s="3">
        <v>100.23320140297267</v>
      </c>
      <c r="Q62" s="3">
        <f t="shared" si="0"/>
        <v>1.4419839125256937</v>
      </c>
      <c r="R62" s="4">
        <f>42.13/40.304/(42.13/40.304+18.34/71.846)*100</f>
        <v>80.372648209993031</v>
      </c>
      <c r="S62" s="4">
        <f t="shared" si="1"/>
        <v>4.094930842932861</v>
      </c>
      <c r="T62" s="13">
        <f t="shared" si="2"/>
        <v>0.35213877055196363</v>
      </c>
    </row>
    <row r="63" spans="1:20">
      <c r="A63" s="1" t="s">
        <v>116</v>
      </c>
      <c r="B63" s="1" t="s">
        <v>63</v>
      </c>
      <c r="C63" s="2">
        <v>1040</v>
      </c>
      <c r="D63" s="2">
        <v>0</v>
      </c>
      <c r="E63" s="3">
        <v>52.175763379082888</v>
      </c>
      <c r="F63" s="3">
        <v>0.60644749441429946</v>
      </c>
      <c r="G63" s="3">
        <v>17.374188743483348</v>
      </c>
      <c r="H63" s="3">
        <v>8.6725728535479085</v>
      </c>
      <c r="I63" s="3">
        <v>2.7178299644667421</v>
      </c>
      <c r="J63" s="3">
        <v>0.25534631343759973</v>
      </c>
      <c r="K63" s="3">
        <v>5.2452388551973614</v>
      </c>
      <c r="L63" s="3">
        <v>11.13948292371529</v>
      </c>
      <c r="M63" s="3">
        <v>1.4363230130864986</v>
      </c>
      <c r="N63" s="3">
        <v>0.51069262687519945</v>
      </c>
      <c r="O63" s="3">
        <v>0.13831258644536654</v>
      </c>
      <c r="P63" s="3">
        <v>100.27219875375249</v>
      </c>
      <c r="Q63" s="3">
        <f t="shared" si="0"/>
        <v>1.0781315535635216</v>
      </c>
      <c r="R63" s="4">
        <f>38.8/40.304/(38.8/40.304+22.6/71.846)*100</f>
        <v>75.371864751913165</v>
      </c>
      <c r="S63" s="4">
        <f t="shared" si="1"/>
        <v>3.0603967370111063</v>
      </c>
      <c r="T63" s="13">
        <f t="shared" si="2"/>
        <v>0.35228489840061189</v>
      </c>
    </row>
    <row r="64" spans="1:20">
      <c r="A64" s="1" t="s">
        <v>116</v>
      </c>
      <c r="B64" s="1" t="s">
        <v>64</v>
      </c>
      <c r="C64" s="2">
        <v>1070</v>
      </c>
      <c r="D64" s="2">
        <v>0</v>
      </c>
      <c r="E64" s="3">
        <v>49.741824440619617</v>
      </c>
      <c r="F64" s="3">
        <v>0.66695352839931132</v>
      </c>
      <c r="G64" s="3">
        <v>17.953958691910497</v>
      </c>
      <c r="H64" s="3">
        <v>8.0660633764525524</v>
      </c>
      <c r="I64" s="3">
        <v>2.4767399229324409</v>
      </c>
      <c r="J64" s="3">
        <v>0.21514629948364886</v>
      </c>
      <c r="K64" s="3">
        <v>7.0675559380378647</v>
      </c>
      <c r="L64" s="3">
        <v>12.295611015490531</v>
      </c>
      <c r="M64" s="3">
        <v>1.3123924268502578</v>
      </c>
      <c r="N64" s="3">
        <v>0.40877796901893282</v>
      </c>
      <c r="O64" s="3">
        <v>4.3029259896729767E-2</v>
      </c>
      <c r="P64" s="3">
        <v>100.24805286909238</v>
      </c>
      <c r="Q64" s="3">
        <f t="shared" si="0"/>
        <v>1.5619318047810726</v>
      </c>
      <c r="R64" s="4">
        <f>42.86/40.304/(42.86/40.304+17.63/71.846)*100</f>
        <v>81.251129521525527</v>
      </c>
      <c r="S64" s="4">
        <f t="shared" si="1"/>
        <v>4.3336546388119608</v>
      </c>
      <c r="T64" s="13">
        <f t="shared" si="2"/>
        <v>0.3604190769593178</v>
      </c>
    </row>
    <row r="65" spans="1:20">
      <c r="A65" s="1" t="s">
        <v>116</v>
      </c>
      <c r="B65" s="1" t="s">
        <v>65</v>
      </c>
      <c r="C65" s="2">
        <v>1037</v>
      </c>
      <c r="D65" s="2">
        <v>0</v>
      </c>
      <c r="E65" s="3">
        <v>52.459016393442639</v>
      </c>
      <c r="F65" s="3">
        <v>0.81967213114754123</v>
      </c>
      <c r="G65" s="3">
        <v>17.978861087144093</v>
      </c>
      <c r="H65" s="3">
        <v>7.536087215060717</v>
      </c>
      <c r="I65" s="3">
        <v>2.3162549923119995</v>
      </c>
      <c r="J65" s="3">
        <v>0.20491803278688531</v>
      </c>
      <c r="K65" s="3">
        <v>5.5327868852459021</v>
      </c>
      <c r="L65" s="3">
        <v>11.443054357204488</v>
      </c>
      <c r="M65" s="3">
        <v>1.4020707506471097</v>
      </c>
      <c r="N65" s="3">
        <v>0.44219154443485775</v>
      </c>
      <c r="O65" s="3">
        <v>9.7066436583261445E-2</v>
      </c>
      <c r="P65" s="3">
        <v>100.23197982600949</v>
      </c>
      <c r="Q65" s="3">
        <f t="shared" si="0"/>
        <v>1.3087372691085275</v>
      </c>
      <c r="R65" s="4">
        <f>40.8/40.304/(40.8/40.304+20.08/71.846)*100</f>
        <v>78.364440181527939</v>
      </c>
      <c r="S65" s="4">
        <f t="shared" si="1"/>
        <v>3.6220204533197129</v>
      </c>
      <c r="T65" s="13">
        <f t="shared" si="2"/>
        <v>0.3613279621071776</v>
      </c>
    </row>
    <row r="66" spans="1:20">
      <c r="A66" s="1" t="s">
        <v>116</v>
      </c>
      <c r="B66" s="1" t="s">
        <v>66</v>
      </c>
      <c r="C66" s="2">
        <v>1060</v>
      </c>
      <c r="D66" s="2">
        <v>0</v>
      </c>
      <c r="E66" s="3">
        <v>52.6834959694527</v>
      </c>
      <c r="F66" s="3">
        <v>0.76368264743317782</v>
      </c>
      <c r="G66" s="3">
        <v>17.967755621552826</v>
      </c>
      <c r="H66" s="3">
        <v>6.7723475691877981</v>
      </c>
      <c r="I66" s="3">
        <v>2.1158439011346166</v>
      </c>
      <c r="J66" s="3">
        <v>0.16970725498515063</v>
      </c>
      <c r="K66" s="3">
        <v>5.8018667798048371</v>
      </c>
      <c r="L66" s="3">
        <v>11.285532456512518</v>
      </c>
      <c r="M66" s="3">
        <v>2.0895205770046674</v>
      </c>
      <c r="N66" s="3">
        <v>0.47730165464573615</v>
      </c>
      <c r="O66" s="3">
        <v>8.4853627492575315E-2</v>
      </c>
      <c r="P66" s="3">
        <v>100.21190805920661</v>
      </c>
      <c r="Q66" s="3">
        <f t="shared" si="0"/>
        <v>1.5271544341419654</v>
      </c>
      <c r="R66" s="4">
        <f>42.21/40.304/(42.21/40.304+17.83/71.846)*100</f>
        <v>80.843125904197692</v>
      </c>
      <c r="S66" s="4">
        <f t="shared" si="1"/>
        <v>4.2200583195309616</v>
      </c>
      <c r="T66" s="13">
        <f t="shared" si="2"/>
        <v>0.36187993589427481</v>
      </c>
    </row>
    <row r="67" spans="1:20">
      <c r="A67" s="1" t="s">
        <v>116</v>
      </c>
      <c r="B67" s="1" t="s">
        <v>67</v>
      </c>
      <c r="C67" s="2">
        <v>1040</v>
      </c>
      <c r="D67" s="2">
        <v>0</v>
      </c>
      <c r="E67" s="3">
        <v>50.197459707546166</v>
      </c>
      <c r="F67" s="3">
        <v>0.69377735083786962</v>
      </c>
      <c r="G67" s="3">
        <v>17.974170135553422</v>
      </c>
      <c r="H67" s="3">
        <v>8.3425373602599571</v>
      </c>
      <c r="I67" s="3">
        <v>2.5785347733298547</v>
      </c>
      <c r="J67" s="3">
        <v>0.24549044721955388</v>
      </c>
      <c r="K67" s="3">
        <v>6.1265876827836481</v>
      </c>
      <c r="L67" s="3">
        <v>12.157113886220515</v>
      </c>
      <c r="M67" s="3">
        <v>1.3662077062653433</v>
      </c>
      <c r="N67" s="3">
        <v>0.42693990820791977</v>
      </c>
      <c r="O67" s="3">
        <v>0.14942896787277193</v>
      </c>
      <c r="P67" s="3">
        <v>100.258247926097</v>
      </c>
      <c r="Q67" s="3">
        <f t="shared" si="0"/>
        <v>1.3091063727683319</v>
      </c>
      <c r="R67" s="4">
        <f>40.4/40.304/(40.4/40.304+20.07/71.846)*100</f>
        <v>78.205423449873237</v>
      </c>
      <c r="S67" s="4">
        <f t="shared" si="1"/>
        <v>3.5882974495973117</v>
      </c>
      <c r="T67" s="13">
        <f t="shared" si="2"/>
        <v>0.36482660402504907</v>
      </c>
    </row>
    <row r="68" spans="1:20">
      <c r="A68" s="1" t="s">
        <v>116</v>
      </c>
      <c r="B68" s="1" t="s">
        <v>68</v>
      </c>
      <c r="C68" s="2">
        <v>1090</v>
      </c>
      <c r="D68" s="2">
        <v>0</v>
      </c>
      <c r="E68" s="3">
        <v>52.667313288069828</v>
      </c>
      <c r="F68" s="3">
        <v>0.72206056687143005</v>
      </c>
      <c r="G68" s="3">
        <v>16.661278154973598</v>
      </c>
      <c r="H68" s="3">
        <v>5.9092240638132365</v>
      </c>
      <c r="I68" s="3">
        <v>1.8286100662861171</v>
      </c>
      <c r="J68" s="3">
        <v>0.10777023386140748</v>
      </c>
      <c r="K68" s="3">
        <v>7.4792542299816782</v>
      </c>
      <c r="L68" s="3">
        <v>12.328914753745014</v>
      </c>
      <c r="M68" s="3">
        <v>1.9506412328914753</v>
      </c>
      <c r="N68" s="3">
        <v>0.43108093544562992</v>
      </c>
      <c r="O68" s="3">
        <v>9.6993210475266725E-2</v>
      </c>
      <c r="P68" s="3">
        <v>100.18314073641467</v>
      </c>
      <c r="Q68" s="3">
        <f t="shared" si="0"/>
        <v>2.256224349178741</v>
      </c>
      <c r="R68" s="4">
        <f>45.69/40.304/(45.69/40.304+13.17/71.846)*100</f>
        <v>86.080739511022287</v>
      </c>
      <c r="S68" s="4">
        <f t="shared" si="1"/>
        <v>6.1842897170569735</v>
      </c>
      <c r="T68" s="13">
        <f t="shared" si="2"/>
        <v>0.36483160595724001</v>
      </c>
    </row>
    <row r="69" spans="1:20">
      <c r="A69" s="1" t="s">
        <v>116</v>
      </c>
      <c r="B69" s="1" t="s">
        <v>69</v>
      </c>
      <c r="C69" s="2">
        <v>1040</v>
      </c>
      <c r="D69" s="2">
        <v>0</v>
      </c>
      <c r="E69" s="3">
        <v>54.160395613846482</v>
      </c>
      <c r="F69" s="3">
        <v>0.81702859600085997</v>
      </c>
      <c r="G69" s="3">
        <v>18.372393033756179</v>
      </c>
      <c r="H69" s="3">
        <v>6.8616344055389948</v>
      </c>
      <c r="I69" s="3">
        <v>2.147224274675148</v>
      </c>
      <c r="J69" s="3">
        <v>0.16125564394753814</v>
      </c>
      <c r="K69" s="3">
        <v>4.8376693184261441</v>
      </c>
      <c r="L69" s="3">
        <v>10.245108578800256</v>
      </c>
      <c r="M69" s="3">
        <v>2.0963233713179958</v>
      </c>
      <c r="N69" s="3">
        <v>0.47301655557944527</v>
      </c>
      <c r="O69" s="3">
        <v>4.3001505052676837E-2</v>
      </c>
      <c r="P69" s="3">
        <v>100.21505089694173</v>
      </c>
      <c r="Q69" s="3">
        <f t="shared" ref="Q69:Q112" si="3">K69/H69/(40.304/71.846)</f>
        <v>1.2567909585373809</v>
      </c>
      <c r="R69" s="4">
        <f>39.67/40.304/(39.67/40.304+20.73/71.846)*100</f>
        <v>77.330841705079919</v>
      </c>
      <c r="S69" s="4">
        <f t="shared" ref="S69:S112" si="4">R69/(100-R69)</f>
        <v>3.4112797969393043</v>
      </c>
      <c r="T69" s="13">
        <f t="shared" ref="T69:T112" si="5">Q69/S69</f>
        <v>0.36842212698735793</v>
      </c>
    </row>
    <row r="70" spans="1:20">
      <c r="A70" s="1" t="s">
        <v>116</v>
      </c>
      <c r="B70" s="1" t="s">
        <v>70</v>
      </c>
      <c r="C70" s="2">
        <v>1020</v>
      </c>
      <c r="D70" s="2">
        <v>0</v>
      </c>
      <c r="E70" s="3">
        <v>52.88596396590787</v>
      </c>
      <c r="F70" s="3">
        <v>0.81993742582802898</v>
      </c>
      <c r="G70" s="3">
        <v>17.639443305642466</v>
      </c>
      <c r="H70" s="3">
        <v>8.7550127241158489</v>
      </c>
      <c r="I70" s="3">
        <v>2.7515479943863577</v>
      </c>
      <c r="J70" s="3">
        <v>0.24813895781637718</v>
      </c>
      <c r="K70" s="3">
        <v>4.6499082964721117</v>
      </c>
      <c r="L70" s="3">
        <v>10.411047577947999</v>
      </c>
      <c r="M70" s="3">
        <v>1.4564677958787358</v>
      </c>
      <c r="N70" s="3">
        <v>0.5286438666522818</v>
      </c>
      <c r="O70" s="3">
        <v>0.12946380407810981</v>
      </c>
      <c r="P70" s="3">
        <v>100.27557571472619</v>
      </c>
      <c r="Q70" s="3">
        <f t="shared" si="3"/>
        <v>0.94676468529746116</v>
      </c>
      <c r="R70" s="4">
        <f>36.15/40.304/(36.15/40.304+25.37/71.846)*100</f>
        <v>71.7518120017602</v>
      </c>
      <c r="S70" s="4">
        <f t="shared" si="4"/>
        <v>2.5400500735208644</v>
      </c>
      <c r="T70" s="13">
        <f t="shared" si="5"/>
        <v>0.37273465400038863</v>
      </c>
    </row>
    <row r="71" spans="1:20">
      <c r="A71" s="1" t="s">
        <v>116</v>
      </c>
      <c r="B71" s="1" t="s">
        <v>71</v>
      </c>
      <c r="C71" s="2">
        <v>1030</v>
      </c>
      <c r="D71" s="2">
        <v>0</v>
      </c>
      <c r="E71" s="3">
        <v>52.306861156131824</v>
      </c>
      <c r="F71" s="3">
        <v>0.85359265262020556</v>
      </c>
      <c r="G71" s="3">
        <v>18.346839546191251</v>
      </c>
      <c r="H71" s="3">
        <v>7.509064764558528</v>
      </c>
      <c r="I71" s="3">
        <v>2.3299002601552941</v>
      </c>
      <c r="J71" s="3">
        <v>0.2160994057266343</v>
      </c>
      <c r="K71" s="3">
        <v>5.3268503511615348</v>
      </c>
      <c r="L71" s="3">
        <v>11.107509454349001</v>
      </c>
      <c r="M71" s="3">
        <v>1.6423554835224206</v>
      </c>
      <c r="N71" s="3">
        <v>0.49702863317125889</v>
      </c>
      <c r="O71" s="3">
        <v>9.7244732576985432E-2</v>
      </c>
      <c r="P71" s="3">
        <v>100.23334644016495</v>
      </c>
      <c r="Q71" s="3">
        <f t="shared" si="3"/>
        <v>1.2645589798270049</v>
      </c>
      <c r="R71" s="4">
        <f>39.15/40.304/(39.15/40.304+21.29/71.846)*100</f>
        <v>76.624656898298454</v>
      </c>
      <c r="S71" s="4">
        <f t="shared" si="4"/>
        <v>3.2780120730172628</v>
      </c>
      <c r="T71" s="13">
        <f t="shared" si="5"/>
        <v>0.38577008005435293</v>
      </c>
    </row>
    <row r="72" spans="1:20">
      <c r="A72" s="1" t="s">
        <v>116</v>
      </c>
      <c r="B72" s="1" t="s">
        <v>72</v>
      </c>
      <c r="C72" s="2">
        <v>1030</v>
      </c>
      <c r="D72" s="2">
        <v>0</v>
      </c>
      <c r="E72" s="3">
        <v>54.73268594600362</v>
      </c>
      <c r="F72" s="3">
        <v>1.1311492903638884</v>
      </c>
      <c r="G72" s="3">
        <v>17.095293992103294</v>
      </c>
      <c r="H72" s="3">
        <v>8.1001890853842866</v>
      </c>
      <c r="I72" s="3">
        <v>2.5369953298755741</v>
      </c>
      <c r="J72" s="3">
        <v>0.20275317468786683</v>
      </c>
      <c r="K72" s="3">
        <v>3.9803649557144376</v>
      </c>
      <c r="L72" s="3">
        <v>10.0309465371892</v>
      </c>
      <c r="M72" s="3">
        <v>1.6326966172233486</v>
      </c>
      <c r="N72" s="3">
        <v>0.64027318322484261</v>
      </c>
      <c r="O72" s="3">
        <v>0.1707395155266247</v>
      </c>
      <c r="P72" s="3">
        <v>100.25408762729698</v>
      </c>
      <c r="Q72" s="3">
        <f t="shared" si="3"/>
        <v>0.87595577634430144</v>
      </c>
      <c r="R72" s="4">
        <f>34.27/40.304/(34.27/40.304+27.44/71.846)*100</f>
        <v>69.004779451254691</v>
      </c>
      <c r="S72" s="4">
        <f t="shared" si="4"/>
        <v>2.2263038697444602</v>
      </c>
      <c r="T72" s="13">
        <f t="shared" si="5"/>
        <v>0.3934574198286982</v>
      </c>
    </row>
    <row r="73" spans="1:20">
      <c r="A73" s="1" t="s">
        <v>116</v>
      </c>
      <c r="B73" s="1" t="s">
        <v>73</v>
      </c>
      <c r="C73" s="2">
        <v>1011</v>
      </c>
      <c r="D73" s="2">
        <v>0</v>
      </c>
      <c r="E73" s="3">
        <v>56.673072816570581</v>
      </c>
      <c r="F73" s="3">
        <v>1.1103993166773438</v>
      </c>
      <c r="G73" s="3">
        <v>18.332265641682689</v>
      </c>
      <c r="H73" s="3">
        <v>5.9294308278415464</v>
      </c>
      <c r="I73" s="3">
        <v>1.9180130149338486</v>
      </c>
      <c r="J73" s="3">
        <v>0.17083066410420675</v>
      </c>
      <c r="K73" s="3">
        <v>3.7582746102925482</v>
      </c>
      <c r="L73" s="3">
        <v>8.2639333760410008</v>
      </c>
      <c r="M73" s="3">
        <v>3.1069827033952602</v>
      </c>
      <c r="N73" s="3">
        <v>0.80076873798846904</v>
      </c>
      <c r="O73" s="3">
        <v>0.12812299807815505</v>
      </c>
      <c r="P73" s="3">
        <v>100.19209470760562</v>
      </c>
      <c r="Q73" s="3">
        <f t="shared" si="3"/>
        <v>1.1298738226082188</v>
      </c>
      <c r="R73" s="4">
        <f>37.45/40.304/(37.45/40.304+23.66/71.846)*100</f>
        <v>73.832775115931767</v>
      </c>
      <c r="S73" s="4">
        <f t="shared" si="4"/>
        <v>2.8215745247362642</v>
      </c>
      <c r="T73" s="13">
        <f t="shared" si="5"/>
        <v>0.40044089309100539</v>
      </c>
    </row>
    <row r="74" spans="1:20">
      <c r="A74" s="1" t="s">
        <v>116</v>
      </c>
      <c r="B74" s="1" t="s">
        <v>74</v>
      </c>
      <c r="C74" s="2">
        <v>1040</v>
      </c>
      <c r="D74" s="2">
        <v>0</v>
      </c>
      <c r="E74" s="3">
        <v>51.394849785407729</v>
      </c>
      <c r="F74" s="3">
        <v>0.78326180257510747</v>
      </c>
      <c r="G74" s="3">
        <v>18.315450643776828</v>
      </c>
      <c r="H74" s="3">
        <v>7.3870686102459677</v>
      </c>
      <c r="I74" s="3">
        <v>2.2837120268242166</v>
      </c>
      <c r="J74" s="3">
        <v>0.21459227467811162</v>
      </c>
      <c r="K74" s="3">
        <v>5.9334763948497864</v>
      </c>
      <c r="L74" s="3">
        <v>11.963519313304722</v>
      </c>
      <c r="M74" s="3">
        <v>1.4377682403433478</v>
      </c>
      <c r="N74" s="3">
        <v>0.43991416309012876</v>
      </c>
      <c r="O74" s="3">
        <v>7.5107296137339075E-2</v>
      </c>
      <c r="P74" s="3">
        <v>100.22872055123325</v>
      </c>
      <c r="Q74" s="3">
        <f t="shared" si="3"/>
        <v>1.4318302387940818</v>
      </c>
      <c r="R74" s="4">
        <f>39.29/40.304/(39.29/40.304+20.08/71.846)*100</f>
        <v>77.718212055004614</v>
      </c>
      <c r="S74" s="4">
        <f t="shared" si="4"/>
        <v>3.4879701865424386</v>
      </c>
      <c r="T74" s="13">
        <f t="shared" si="5"/>
        <v>0.41050529741294295</v>
      </c>
    </row>
    <row r="75" spans="1:20">
      <c r="A75" s="1" t="s">
        <v>116</v>
      </c>
      <c r="B75" s="1" t="s">
        <v>75</v>
      </c>
      <c r="C75" s="2">
        <v>1060</v>
      </c>
      <c r="D75" s="2">
        <v>0</v>
      </c>
      <c r="E75" s="3">
        <v>50.852027610008633</v>
      </c>
      <c r="F75" s="3">
        <v>0.67946505608283003</v>
      </c>
      <c r="G75" s="3">
        <v>17.827868852459016</v>
      </c>
      <c r="H75" s="3">
        <v>6.8858718943920296</v>
      </c>
      <c r="I75" s="3">
        <v>2.0919809951685231</v>
      </c>
      <c r="J75" s="3">
        <v>0.19413287316652286</v>
      </c>
      <c r="K75" s="3">
        <v>7.366264020707507</v>
      </c>
      <c r="L75" s="3">
        <v>12.446074201898186</v>
      </c>
      <c r="M75" s="3">
        <v>1.4020707506471097</v>
      </c>
      <c r="N75" s="3">
        <v>0.38826574633304572</v>
      </c>
      <c r="O75" s="3">
        <v>7.5496117342536681E-2</v>
      </c>
      <c r="P75" s="3">
        <v>100.20951811820595</v>
      </c>
      <c r="Q75" s="3">
        <f t="shared" si="3"/>
        <v>1.9069652791509832</v>
      </c>
      <c r="R75" s="4">
        <f>42.28/40.304/(45.18/40.304+14.21/71.846)*100</f>
        <v>79.546214271280874</v>
      </c>
      <c r="S75" s="4">
        <f t="shared" si="4"/>
        <v>3.8890704794853779</v>
      </c>
      <c r="T75" s="13">
        <f t="shared" si="5"/>
        <v>0.4903396040802333</v>
      </c>
    </row>
    <row r="76" spans="1:20">
      <c r="A76" s="1" t="s">
        <v>117</v>
      </c>
      <c r="B76" s="1" t="s">
        <v>76</v>
      </c>
      <c r="C76" s="2">
        <v>1050</v>
      </c>
      <c r="D76" s="12">
        <v>4.0599999999999996</v>
      </c>
      <c r="E76" s="4">
        <v>50</v>
      </c>
      <c r="F76" s="1">
        <v>1.66</v>
      </c>
      <c r="G76" s="1">
        <v>12.75</v>
      </c>
      <c r="H76" s="3">
        <v>2.14461843246711</v>
      </c>
      <c r="I76" s="3">
        <v>5.529141535999301</v>
      </c>
      <c r="J76" s="1">
        <v>0</v>
      </c>
      <c r="K76" s="3">
        <v>8.3000000000000007</v>
      </c>
      <c r="L76" s="3">
        <v>7.58</v>
      </c>
      <c r="M76" s="3">
        <v>2.39</v>
      </c>
      <c r="N76" s="3">
        <v>5</v>
      </c>
      <c r="O76" s="3">
        <v>0</v>
      </c>
      <c r="P76" s="3">
        <v>95.353759968466406</v>
      </c>
      <c r="Q76" s="3">
        <f t="shared" si="3"/>
        <v>6.8989421277826688</v>
      </c>
      <c r="R76" s="4">
        <f>53.4/40.304/(53.4/40.304+4.9/71.846)*100</f>
        <v>95.104452926650168</v>
      </c>
      <c r="S76" s="4">
        <f t="shared" si="4"/>
        <v>19.426726268117346</v>
      </c>
      <c r="T76" s="13">
        <f t="shared" si="5"/>
        <v>0.3551263363969378</v>
      </c>
    </row>
    <row r="77" spans="1:20">
      <c r="A77" s="1" t="s">
        <v>117</v>
      </c>
      <c r="B77" s="1" t="s">
        <v>77</v>
      </c>
      <c r="C77" s="2">
        <v>1015</v>
      </c>
      <c r="D77" s="12">
        <v>1.48</v>
      </c>
      <c r="E77" s="4">
        <v>53.3</v>
      </c>
      <c r="F77" s="1">
        <v>1.23</v>
      </c>
      <c r="G77" s="1">
        <v>13.24</v>
      </c>
      <c r="H77" s="3">
        <v>4.0438839136090055</v>
      </c>
      <c r="I77" s="3">
        <v>1.9293458068063125</v>
      </c>
      <c r="J77" s="1">
        <v>0</v>
      </c>
      <c r="K77" s="3">
        <v>4.7</v>
      </c>
      <c r="L77" s="3">
        <v>7.9</v>
      </c>
      <c r="M77" s="3">
        <v>3.04</v>
      </c>
      <c r="N77" s="3">
        <v>5.52</v>
      </c>
      <c r="O77" s="3">
        <v>2.0499999999999998</v>
      </c>
      <c r="P77" s="3">
        <v>96.953229720415322</v>
      </c>
      <c r="Q77" s="3">
        <f t="shared" si="3"/>
        <v>2.0718276359010201</v>
      </c>
      <c r="R77" s="4">
        <f>49.4/40.304/(49.4/40.304+11.01/71.846)*100</f>
        <v>88.886707482846262</v>
      </c>
      <c r="S77" s="4">
        <f t="shared" si="4"/>
        <v>7.9982334079343866</v>
      </c>
      <c r="T77" s="13">
        <f t="shared" si="5"/>
        <v>0.25903565577940385</v>
      </c>
    </row>
    <row r="78" spans="1:20">
      <c r="A78" s="1" t="s">
        <v>118</v>
      </c>
      <c r="B78" s="1" t="s">
        <v>78</v>
      </c>
      <c r="C78" s="2">
        <v>1035</v>
      </c>
      <c r="D78" s="2">
        <v>0</v>
      </c>
      <c r="E78" s="3">
        <v>49</v>
      </c>
      <c r="F78" s="3">
        <v>0.72</v>
      </c>
      <c r="G78" s="3">
        <v>19.7</v>
      </c>
      <c r="H78" s="3">
        <v>6.7215056442324324</v>
      </c>
      <c r="I78" s="3">
        <v>2.1875877775644974</v>
      </c>
      <c r="J78" s="3">
        <v>0.16</v>
      </c>
      <c r="K78" s="3">
        <v>6.37</v>
      </c>
      <c r="L78" s="3">
        <v>12.1</v>
      </c>
      <c r="M78" s="3">
        <v>3.08</v>
      </c>
      <c r="N78" s="3">
        <v>0.11</v>
      </c>
      <c r="O78" s="3">
        <v>0.09</v>
      </c>
      <c r="P78" s="3">
        <v>100.23909342179694</v>
      </c>
      <c r="Q78" s="3">
        <f t="shared" si="3"/>
        <v>1.6893798446660062</v>
      </c>
      <c r="R78" s="4">
        <v>84.898943347980392</v>
      </c>
      <c r="S78" s="4">
        <f t="shared" si="4"/>
        <v>5.6220531651754353</v>
      </c>
      <c r="T78" s="13">
        <f t="shared" si="5"/>
        <v>0.30049161668027191</v>
      </c>
    </row>
    <row r="79" spans="1:20">
      <c r="A79" s="1" t="s">
        <v>118</v>
      </c>
      <c r="B79" s="1" t="s">
        <v>79</v>
      </c>
      <c r="C79" s="2">
        <v>1050</v>
      </c>
      <c r="D79" s="2">
        <v>0</v>
      </c>
      <c r="E79" s="3">
        <v>48.2</v>
      </c>
      <c r="F79" s="3">
        <v>0.65</v>
      </c>
      <c r="G79" s="3">
        <v>19.399999999999999</v>
      </c>
      <c r="H79" s="3">
        <v>6.47232581744999</v>
      </c>
      <c r="I79" s="3">
        <v>2.1088853190678249</v>
      </c>
      <c r="J79" s="3">
        <v>0.16</v>
      </c>
      <c r="K79" s="3">
        <v>6.96</v>
      </c>
      <c r="L79" s="3">
        <v>13.2</v>
      </c>
      <c r="M79" s="3">
        <v>2.89</v>
      </c>
      <c r="N79" s="3">
        <v>0.12</v>
      </c>
      <c r="O79" s="3">
        <v>0.09</v>
      </c>
      <c r="P79" s="3">
        <v>100.25121113651781</v>
      </c>
      <c r="Q79" s="3">
        <f t="shared" si="3"/>
        <v>1.916917012947106</v>
      </c>
      <c r="R79" s="4">
        <v>86.432187162172497</v>
      </c>
      <c r="S79" s="4">
        <f t="shared" si="4"/>
        <v>6.3703846887684614</v>
      </c>
      <c r="T79" s="13">
        <f t="shared" si="5"/>
        <v>0.30091071522364987</v>
      </c>
    </row>
    <row r="80" spans="1:20">
      <c r="A80" s="1" t="s">
        <v>118</v>
      </c>
      <c r="B80" s="1" t="s">
        <v>80</v>
      </c>
      <c r="C80" s="2">
        <v>1050</v>
      </c>
      <c r="D80" s="2">
        <v>0</v>
      </c>
      <c r="E80" s="3">
        <v>49.4</v>
      </c>
      <c r="F80" s="3">
        <v>0.72</v>
      </c>
      <c r="G80" s="3">
        <v>19.2</v>
      </c>
      <c r="H80" s="3">
        <v>6.4140948102004121</v>
      </c>
      <c r="I80" s="3">
        <v>2.0735804374242814</v>
      </c>
      <c r="J80" s="3">
        <v>0.15</v>
      </c>
      <c r="K80" s="3">
        <v>6.58</v>
      </c>
      <c r="L80" s="3">
        <v>12.6</v>
      </c>
      <c r="M80" s="3">
        <v>2.77</v>
      </c>
      <c r="N80" s="3">
        <v>0.12</v>
      </c>
      <c r="O80" s="3">
        <v>0.06</v>
      </c>
      <c r="P80" s="3">
        <v>100.08767524762469</v>
      </c>
      <c r="Q80" s="3">
        <f t="shared" si="3"/>
        <v>1.8287105156870143</v>
      </c>
      <c r="R80" s="4">
        <v>84.745330791883944</v>
      </c>
      <c r="S80" s="4">
        <f t="shared" si="4"/>
        <v>5.5553699418664717</v>
      </c>
      <c r="T80" s="13">
        <f t="shared" si="5"/>
        <v>0.32917889084315621</v>
      </c>
    </row>
    <row r="81" spans="1:20">
      <c r="A81" s="1" t="s">
        <v>118</v>
      </c>
      <c r="B81" s="1" t="s">
        <v>81</v>
      </c>
      <c r="C81" s="2">
        <v>1025</v>
      </c>
      <c r="D81" s="2">
        <v>0</v>
      </c>
      <c r="E81" s="3">
        <v>49.1</v>
      </c>
      <c r="F81" s="3">
        <v>0.73</v>
      </c>
      <c r="G81" s="3">
        <v>19.5</v>
      </c>
      <c r="H81" s="3">
        <v>6.7676614687489263</v>
      </c>
      <c r="I81" s="3">
        <v>2.2251988097793176</v>
      </c>
      <c r="J81" s="3">
        <v>0.17</v>
      </c>
      <c r="K81" s="3">
        <v>6.37</v>
      </c>
      <c r="L81" s="3">
        <v>12.2</v>
      </c>
      <c r="M81" s="3">
        <v>2.99</v>
      </c>
      <c r="N81" s="3">
        <v>0.11</v>
      </c>
      <c r="O81" s="3">
        <v>0.09</v>
      </c>
      <c r="P81" s="3">
        <v>100.25286027852825</v>
      </c>
      <c r="Q81" s="3">
        <f t="shared" si="3"/>
        <v>1.6778581809403352</v>
      </c>
      <c r="R81" s="4">
        <v>83.561530794947728</v>
      </c>
      <c r="S81" s="4">
        <f t="shared" si="4"/>
        <v>5.083291500723532</v>
      </c>
      <c r="T81" s="13">
        <f t="shared" si="5"/>
        <v>0.33007317811727238</v>
      </c>
    </row>
    <row r="82" spans="1:20">
      <c r="A82" s="1" t="s">
        <v>118</v>
      </c>
      <c r="B82" s="1" t="s">
        <v>82</v>
      </c>
      <c r="C82" s="2">
        <v>985</v>
      </c>
      <c r="D82" s="2">
        <v>0</v>
      </c>
      <c r="E82" s="3">
        <v>54.8</v>
      </c>
      <c r="F82" s="3">
        <v>0.62</v>
      </c>
      <c r="G82" s="3">
        <v>20.100000000000001</v>
      </c>
      <c r="H82" s="3">
        <v>4.9921314891475967</v>
      </c>
      <c r="I82" s="3">
        <v>1.7645982761102756</v>
      </c>
      <c r="J82" s="3">
        <v>0.16</v>
      </c>
      <c r="K82" s="3">
        <v>3.32</v>
      </c>
      <c r="L82" s="3">
        <v>7.63</v>
      </c>
      <c r="M82" s="3">
        <v>5.56</v>
      </c>
      <c r="N82" s="3">
        <v>0.94</v>
      </c>
      <c r="O82" s="3">
        <v>0.28000000000000003</v>
      </c>
      <c r="P82" s="3">
        <v>100.16672976525786</v>
      </c>
      <c r="Q82" s="3">
        <f t="shared" si="3"/>
        <v>1.1855135213429975</v>
      </c>
      <c r="R82" s="4">
        <v>77.67194456991416</v>
      </c>
      <c r="S82" s="4">
        <f t="shared" si="4"/>
        <v>3.4786703577086002</v>
      </c>
      <c r="T82" s="13">
        <f t="shared" si="5"/>
        <v>0.34079501632454046</v>
      </c>
    </row>
    <row r="83" spans="1:20">
      <c r="A83" s="1" t="s">
        <v>118</v>
      </c>
      <c r="B83" s="1" t="s">
        <v>83</v>
      </c>
      <c r="C83" s="2">
        <v>965</v>
      </c>
      <c r="D83" s="2">
        <v>0</v>
      </c>
      <c r="E83" s="3">
        <v>53.7</v>
      </c>
      <c r="F83" s="3">
        <v>0.93</v>
      </c>
      <c r="G83" s="3">
        <v>20</v>
      </c>
      <c r="H83" s="3">
        <v>5.2362258703339197</v>
      </c>
      <c r="I83" s="3">
        <v>1.7822741902979147</v>
      </c>
      <c r="J83" s="3">
        <v>0.16</v>
      </c>
      <c r="K83" s="3">
        <v>3.75</v>
      </c>
      <c r="L83" s="3">
        <v>8.77</v>
      </c>
      <c r="M83" s="3">
        <v>3.98</v>
      </c>
      <c r="N83" s="3">
        <v>1.6</v>
      </c>
      <c r="O83" s="3">
        <v>0.33</v>
      </c>
      <c r="P83" s="3">
        <v>100.23850006063182</v>
      </c>
      <c r="Q83" s="3">
        <f t="shared" si="3"/>
        <v>1.2766367422219758</v>
      </c>
      <c r="R83" s="4">
        <v>78.475296079219746</v>
      </c>
      <c r="S83" s="4">
        <f t="shared" si="4"/>
        <v>3.6458246472537343</v>
      </c>
      <c r="T83" s="13">
        <f t="shared" si="5"/>
        <v>0.3501640549782391</v>
      </c>
    </row>
    <row r="84" spans="1:20">
      <c r="A84" s="1" t="s">
        <v>118</v>
      </c>
      <c r="B84" s="1" t="s">
        <v>84</v>
      </c>
      <c r="C84" s="2">
        <v>970</v>
      </c>
      <c r="D84" s="2">
        <v>0</v>
      </c>
      <c r="E84" s="3">
        <v>52.1</v>
      </c>
      <c r="F84" s="3">
        <v>1.27</v>
      </c>
      <c r="G84" s="3">
        <v>19.3</v>
      </c>
      <c r="H84" s="3">
        <v>6.3869855262002222</v>
      </c>
      <c r="I84" s="3">
        <v>2.1814979847336926</v>
      </c>
      <c r="J84" s="3">
        <v>0.15</v>
      </c>
      <c r="K84" s="3">
        <v>4.1399999999999997</v>
      </c>
      <c r="L84" s="3">
        <v>8.77</v>
      </c>
      <c r="M84" s="3">
        <v>4.49</v>
      </c>
      <c r="N84" s="3">
        <v>1</v>
      </c>
      <c r="O84" s="3">
        <v>0.42</v>
      </c>
      <c r="P84" s="3">
        <v>100.20848351093392</v>
      </c>
      <c r="Q84" s="3">
        <f t="shared" si="3"/>
        <v>1.1554704756067882</v>
      </c>
      <c r="R84" s="4">
        <v>76.18433128395958</v>
      </c>
      <c r="S84" s="4">
        <f t="shared" si="4"/>
        <v>3.1989163181736577</v>
      </c>
      <c r="T84" s="13">
        <f t="shared" si="5"/>
        <v>0.36120684653185159</v>
      </c>
    </row>
    <row r="85" spans="1:20">
      <c r="A85" s="1" t="s">
        <v>118</v>
      </c>
      <c r="B85" s="1" t="s">
        <v>85</v>
      </c>
      <c r="C85" s="2">
        <v>965</v>
      </c>
      <c r="D85" s="2">
        <v>0</v>
      </c>
      <c r="E85" s="3">
        <v>55.9</v>
      </c>
      <c r="F85" s="3">
        <v>0.83</v>
      </c>
      <c r="G85" s="3">
        <v>20.2</v>
      </c>
      <c r="H85" s="3">
        <v>4.8576372788534723</v>
      </c>
      <c r="I85" s="3">
        <v>1.6806886920101363</v>
      </c>
      <c r="J85" s="3">
        <v>0.14000000000000001</v>
      </c>
      <c r="K85" s="3">
        <v>3.52</v>
      </c>
      <c r="L85" s="3">
        <v>7.35</v>
      </c>
      <c r="M85" s="3">
        <v>4.8499999999999996</v>
      </c>
      <c r="N85" s="3">
        <v>0.76</v>
      </c>
      <c r="O85" s="3">
        <v>0.16</v>
      </c>
      <c r="P85" s="3">
        <v>100.24832597086359</v>
      </c>
      <c r="Q85" s="3">
        <f t="shared" si="3"/>
        <v>1.2917308282038951</v>
      </c>
      <c r="R85" s="4">
        <v>78.137437384929214</v>
      </c>
      <c r="S85" s="4">
        <f t="shared" si="4"/>
        <v>3.5740292096895256</v>
      </c>
      <c r="T85" s="13">
        <f t="shared" si="5"/>
        <v>0.36142145248894236</v>
      </c>
    </row>
    <row r="86" spans="1:20">
      <c r="A86" s="1" t="s">
        <v>118</v>
      </c>
      <c r="B86" s="1" t="s">
        <v>86</v>
      </c>
      <c r="C86" s="2">
        <v>968</v>
      </c>
      <c r="D86" s="2">
        <v>0</v>
      </c>
      <c r="E86" s="3">
        <v>55.4</v>
      </c>
      <c r="F86" s="3">
        <v>1.1499999999999999</v>
      </c>
      <c r="G86" s="3">
        <v>18.3</v>
      </c>
      <c r="H86" s="3">
        <v>5.7974536494498183</v>
      </c>
      <c r="I86" s="3">
        <v>2.0476217593664163</v>
      </c>
      <c r="J86" s="3">
        <v>0.13</v>
      </c>
      <c r="K86" s="3">
        <v>3.7</v>
      </c>
      <c r="L86" s="3">
        <v>7.42</v>
      </c>
      <c r="M86" s="3">
        <v>3.99</v>
      </c>
      <c r="N86" s="3">
        <v>1.94</v>
      </c>
      <c r="O86" s="3">
        <v>0.32</v>
      </c>
      <c r="P86" s="3">
        <v>100.19507540881622</v>
      </c>
      <c r="Q86" s="3">
        <f t="shared" si="3"/>
        <v>1.1376767498800502</v>
      </c>
      <c r="R86" s="4">
        <v>75.879020527025048</v>
      </c>
      <c r="S86" s="4">
        <f t="shared" si="4"/>
        <v>3.1457686290077729</v>
      </c>
      <c r="T86" s="13">
        <f t="shared" si="5"/>
        <v>0.36165302794023096</v>
      </c>
    </row>
    <row r="87" spans="1:20">
      <c r="A87" s="1" t="s">
        <v>118</v>
      </c>
      <c r="B87" s="1" t="s">
        <v>87</v>
      </c>
      <c r="C87" s="2">
        <v>943</v>
      </c>
      <c r="D87" s="2">
        <v>0</v>
      </c>
      <c r="E87" s="3">
        <v>57.1</v>
      </c>
      <c r="F87" s="3">
        <v>0.7</v>
      </c>
      <c r="G87" s="3">
        <v>19.100000000000001</v>
      </c>
      <c r="H87" s="3">
        <v>5.2564314327254342</v>
      </c>
      <c r="I87" s="3">
        <v>1.8264977488122252</v>
      </c>
      <c r="J87" s="3">
        <v>0.16</v>
      </c>
      <c r="K87" s="3">
        <v>2.8</v>
      </c>
      <c r="L87" s="3">
        <v>6.59</v>
      </c>
      <c r="M87" s="3">
        <v>4.17</v>
      </c>
      <c r="N87" s="3">
        <v>2.13</v>
      </c>
      <c r="O87" s="3">
        <v>0.39</v>
      </c>
      <c r="P87" s="3">
        <v>100.22292918153767</v>
      </c>
      <c r="Q87" s="3">
        <f t="shared" si="3"/>
        <v>0.94955794412491379</v>
      </c>
      <c r="R87" s="4">
        <v>72.217069455788391</v>
      </c>
      <c r="S87" s="4">
        <f t="shared" si="4"/>
        <v>2.5993323253235552</v>
      </c>
      <c r="T87" s="13">
        <f t="shared" si="5"/>
        <v>0.36530840434445655</v>
      </c>
    </row>
    <row r="88" spans="1:20">
      <c r="A88" s="1" t="s">
        <v>118</v>
      </c>
      <c r="B88" s="1" t="s">
        <v>88</v>
      </c>
      <c r="C88" s="2">
        <v>965</v>
      </c>
      <c r="D88" s="2">
        <v>0</v>
      </c>
      <c r="E88" s="3">
        <v>55.4</v>
      </c>
      <c r="F88" s="3">
        <v>0.6</v>
      </c>
      <c r="G88" s="3">
        <v>19.899999999999999</v>
      </c>
      <c r="H88" s="3">
        <v>5.1928615408770815</v>
      </c>
      <c r="I88" s="3">
        <v>1.7860129696232991</v>
      </c>
      <c r="J88" s="3">
        <v>0.17</v>
      </c>
      <c r="K88" s="3">
        <v>3.64</v>
      </c>
      <c r="L88" s="3">
        <v>7.67</v>
      </c>
      <c r="M88" s="3">
        <v>4.6399999999999997</v>
      </c>
      <c r="N88" s="3">
        <v>1.02</v>
      </c>
      <c r="O88" s="3">
        <v>0.25</v>
      </c>
      <c r="P88" s="3">
        <v>100.26887451050038</v>
      </c>
      <c r="Q88" s="3">
        <f t="shared" si="3"/>
        <v>1.2495368961838516</v>
      </c>
      <c r="R88" s="4">
        <v>77.249111881435098</v>
      </c>
      <c r="S88" s="4">
        <f t="shared" si="4"/>
        <v>3.3954328059131558</v>
      </c>
      <c r="T88" s="13">
        <f t="shared" si="5"/>
        <v>0.36800519038626817</v>
      </c>
    </row>
    <row r="89" spans="1:20">
      <c r="A89" s="1" t="s">
        <v>118</v>
      </c>
      <c r="B89" s="1" t="s">
        <v>89</v>
      </c>
      <c r="C89" s="2">
        <v>1000</v>
      </c>
      <c r="D89" s="2">
        <v>0</v>
      </c>
      <c r="E89" s="3">
        <v>51.8</v>
      </c>
      <c r="F89" s="3">
        <v>1.28</v>
      </c>
      <c r="G89" s="3">
        <v>19.399999999999999</v>
      </c>
      <c r="H89" s="3">
        <v>6.6043953213558142</v>
      </c>
      <c r="I89" s="3">
        <v>2.2399414793772827</v>
      </c>
      <c r="J89" s="3">
        <v>0.17</v>
      </c>
      <c r="K89" s="3">
        <v>4.5599999999999996</v>
      </c>
      <c r="L89" s="3">
        <v>9.59</v>
      </c>
      <c r="M89" s="3">
        <v>3.96</v>
      </c>
      <c r="N89" s="3">
        <v>0.45</v>
      </c>
      <c r="O89" s="3">
        <v>0.18</v>
      </c>
      <c r="P89" s="3">
        <v>100.23433680073309</v>
      </c>
      <c r="Q89" s="3">
        <f t="shared" si="3"/>
        <v>1.2307964229626647</v>
      </c>
      <c r="R89" s="4">
        <v>76.865254661752175</v>
      </c>
      <c r="S89" s="4">
        <f t="shared" si="4"/>
        <v>3.3225027350819234</v>
      </c>
      <c r="T89" s="13">
        <f t="shared" si="5"/>
        <v>0.37044256125565439</v>
      </c>
    </row>
    <row r="90" spans="1:20">
      <c r="A90" s="1" t="s">
        <v>118</v>
      </c>
      <c r="B90" s="1" t="s">
        <v>90</v>
      </c>
      <c r="C90" s="2">
        <v>1024</v>
      </c>
      <c r="D90" s="2">
        <v>0</v>
      </c>
      <c r="E90" s="3">
        <v>54.9</v>
      </c>
      <c r="F90" s="3">
        <v>1.0900000000000001</v>
      </c>
      <c r="G90" s="3">
        <v>17.899999999999999</v>
      </c>
      <c r="H90" s="3">
        <v>6.011740852961637</v>
      </c>
      <c r="I90" s="3">
        <v>2.0206313901037327</v>
      </c>
      <c r="J90" s="3">
        <v>0.16</v>
      </c>
      <c r="K90" s="3">
        <v>4.5599999999999996</v>
      </c>
      <c r="L90" s="3">
        <v>7.12</v>
      </c>
      <c r="M90" s="3">
        <v>4.03</v>
      </c>
      <c r="N90" s="3">
        <v>2.0699999999999998</v>
      </c>
      <c r="O90" s="3">
        <v>0.35</v>
      </c>
      <c r="P90" s="3">
        <v>100.21237224306536</v>
      </c>
      <c r="Q90" s="3">
        <f t="shared" si="3"/>
        <v>1.3521318260669153</v>
      </c>
      <c r="R90" s="4">
        <v>78.393448011365095</v>
      </c>
      <c r="S90" s="4">
        <f t="shared" si="4"/>
        <v>3.6282257369246249</v>
      </c>
      <c r="T90" s="13">
        <f t="shared" si="5"/>
        <v>0.37267025926920855</v>
      </c>
    </row>
    <row r="91" spans="1:20">
      <c r="A91" s="1" t="s">
        <v>118</v>
      </c>
      <c r="B91" s="1" t="s">
        <v>91</v>
      </c>
      <c r="C91" s="2">
        <v>1000</v>
      </c>
      <c r="D91" s="2">
        <v>0</v>
      </c>
      <c r="E91" s="3">
        <v>52.5</v>
      </c>
      <c r="F91" s="3">
        <v>0.98</v>
      </c>
      <c r="G91" s="3">
        <v>19.2</v>
      </c>
      <c r="H91" s="3">
        <v>6.1515515776820697</v>
      </c>
      <c r="I91" s="3">
        <v>2.0986327317219149</v>
      </c>
      <c r="J91" s="3">
        <v>0.2</v>
      </c>
      <c r="K91" s="3">
        <v>4.99</v>
      </c>
      <c r="L91" s="3">
        <v>9.64</v>
      </c>
      <c r="M91" s="3">
        <v>4.1500000000000004</v>
      </c>
      <c r="N91" s="3">
        <v>0.21</v>
      </c>
      <c r="O91" s="3">
        <v>0.14000000000000001</v>
      </c>
      <c r="P91" s="3">
        <v>100.26018430940398</v>
      </c>
      <c r="Q91" s="3">
        <f t="shared" si="3"/>
        <v>1.4460067482101373</v>
      </c>
      <c r="R91" s="4">
        <v>79.400672113713782</v>
      </c>
      <c r="S91" s="4">
        <f t="shared" si="4"/>
        <v>3.8545273201158143</v>
      </c>
      <c r="T91" s="13">
        <f t="shared" si="5"/>
        <v>0.37514502508875464</v>
      </c>
    </row>
    <row r="92" spans="1:20">
      <c r="A92" s="1" t="s">
        <v>118</v>
      </c>
      <c r="B92" s="1" t="s">
        <v>92</v>
      </c>
      <c r="C92" s="2">
        <v>940</v>
      </c>
      <c r="D92" s="2">
        <v>0</v>
      </c>
      <c r="E92" s="3">
        <v>56.3</v>
      </c>
      <c r="F92" s="3">
        <v>1.0900000000000001</v>
      </c>
      <c r="G92" s="3">
        <v>18.600000000000001</v>
      </c>
      <c r="H92" s="3">
        <v>5.4665009547432266</v>
      </c>
      <c r="I92" s="3">
        <v>1.9820024889938521</v>
      </c>
      <c r="J92" s="3">
        <v>0.13</v>
      </c>
      <c r="K92" s="3">
        <v>3.09</v>
      </c>
      <c r="L92" s="3">
        <v>7.22</v>
      </c>
      <c r="M92" s="3">
        <v>4.09</v>
      </c>
      <c r="N92" s="3">
        <v>1.94</v>
      </c>
      <c r="O92" s="3">
        <v>0.3</v>
      </c>
      <c r="P92" s="3">
        <v>100.20850344373709</v>
      </c>
      <c r="Q92" s="3">
        <f t="shared" si="3"/>
        <v>1.0076355816993268</v>
      </c>
      <c r="R92" s="4">
        <v>72.434631221000132</v>
      </c>
      <c r="S92" s="4">
        <f t="shared" si="4"/>
        <v>2.6277403288790038</v>
      </c>
      <c r="T92" s="13">
        <f t="shared" si="5"/>
        <v>0.3834608658341766</v>
      </c>
    </row>
    <row r="93" spans="1:20">
      <c r="A93" s="1" t="s">
        <v>118</v>
      </c>
      <c r="B93" s="1" t="s">
        <v>93</v>
      </c>
      <c r="C93" s="2">
        <v>1012</v>
      </c>
      <c r="D93" s="2">
        <v>0</v>
      </c>
      <c r="E93" s="3">
        <v>51.5</v>
      </c>
      <c r="F93" s="3">
        <v>1.19</v>
      </c>
      <c r="G93" s="3">
        <v>19.2</v>
      </c>
      <c r="H93" s="3">
        <v>6.6726592100808331</v>
      </c>
      <c r="I93" s="3">
        <v>2.2529838198371692</v>
      </c>
      <c r="J93" s="3">
        <v>0.19</v>
      </c>
      <c r="K93" s="3">
        <v>4.9800000000000004</v>
      </c>
      <c r="L93" s="3">
        <v>10</v>
      </c>
      <c r="M93" s="3">
        <v>3.72</v>
      </c>
      <c r="N93" s="3">
        <v>0.42</v>
      </c>
      <c r="O93" s="3">
        <v>0.14000000000000001</v>
      </c>
      <c r="P93" s="3">
        <v>100.26564302991801</v>
      </c>
      <c r="Q93" s="3">
        <f t="shared" si="3"/>
        <v>1.3304079815208192</v>
      </c>
      <c r="R93" s="4">
        <v>77.582782854873699</v>
      </c>
      <c r="S93" s="4">
        <f t="shared" si="4"/>
        <v>3.4608569990027007</v>
      </c>
      <c r="T93" s="13">
        <f t="shared" si="5"/>
        <v>0.3844157623109527</v>
      </c>
    </row>
    <row r="94" spans="1:20">
      <c r="A94" s="1" t="s">
        <v>118</v>
      </c>
      <c r="B94" s="1" t="s">
        <v>94</v>
      </c>
      <c r="C94" s="2">
        <v>1012</v>
      </c>
      <c r="D94" s="2">
        <v>0</v>
      </c>
      <c r="E94" s="3">
        <v>52.9</v>
      </c>
      <c r="F94" s="3">
        <v>1.08</v>
      </c>
      <c r="G94" s="3">
        <v>19.100000000000001</v>
      </c>
      <c r="H94" s="3">
        <v>6.0739493897603039</v>
      </c>
      <c r="I94" s="3">
        <v>2.0292900431593748</v>
      </c>
      <c r="J94" s="3">
        <v>0.17</v>
      </c>
      <c r="K94" s="3">
        <v>4.8</v>
      </c>
      <c r="L94" s="3">
        <v>9.66</v>
      </c>
      <c r="M94" s="3">
        <v>3.41</v>
      </c>
      <c r="N94" s="3">
        <v>0.82</v>
      </c>
      <c r="O94" s="3">
        <v>0.13</v>
      </c>
      <c r="P94" s="3">
        <v>100.17323943291966</v>
      </c>
      <c r="Q94" s="3">
        <f t="shared" si="3"/>
        <v>1.4087194544831094</v>
      </c>
      <c r="R94" s="4">
        <v>78.179954107653742</v>
      </c>
      <c r="S94" s="4">
        <f t="shared" si="4"/>
        <v>3.5829417817620932</v>
      </c>
      <c r="T94" s="13">
        <f t="shared" si="5"/>
        <v>0.39317397275439409</v>
      </c>
    </row>
    <row r="95" spans="1:20">
      <c r="A95" s="1" t="s">
        <v>118</v>
      </c>
      <c r="B95" s="1" t="s">
        <v>95</v>
      </c>
      <c r="C95" s="2">
        <v>1000</v>
      </c>
      <c r="D95" s="2">
        <v>0</v>
      </c>
      <c r="E95" s="3">
        <v>52.7</v>
      </c>
      <c r="F95" s="3">
        <v>1.06</v>
      </c>
      <c r="G95" s="3">
        <v>19.3</v>
      </c>
      <c r="H95" s="3">
        <v>5.9596869443511151</v>
      </c>
      <c r="I95" s="3">
        <v>1.9895748987426056</v>
      </c>
      <c r="J95" s="3">
        <v>0.14000000000000001</v>
      </c>
      <c r="K95" s="3">
        <v>4.83</v>
      </c>
      <c r="L95" s="3">
        <v>9.8000000000000007</v>
      </c>
      <c r="M95" s="3">
        <v>3.44</v>
      </c>
      <c r="N95" s="3">
        <v>0.8</v>
      </c>
      <c r="O95" s="3">
        <v>0.16</v>
      </c>
      <c r="P95" s="3">
        <v>100.17926184309371</v>
      </c>
      <c r="Q95" s="3">
        <f t="shared" si="3"/>
        <v>1.4447015116717223</v>
      </c>
      <c r="R95" s="4">
        <v>78.263248795020417</v>
      </c>
      <c r="S95" s="4">
        <f t="shared" si="4"/>
        <v>3.6005035001316759</v>
      </c>
      <c r="T95" s="13">
        <f t="shared" si="5"/>
        <v>0.4012498561989698</v>
      </c>
    </row>
    <row r="96" spans="1:20">
      <c r="A96" s="1" t="s">
        <v>118</v>
      </c>
      <c r="B96" s="1" t="s">
        <v>96</v>
      </c>
      <c r="C96" s="2">
        <v>960</v>
      </c>
      <c r="D96" s="2">
        <v>0</v>
      </c>
      <c r="E96" s="3">
        <v>56.5</v>
      </c>
      <c r="F96" s="3">
        <v>1.04</v>
      </c>
      <c r="G96" s="3">
        <v>18.8</v>
      </c>
      <c r="H96" s="3">
        <v>5.2233712945428525</v>
      </c>
      <c r="I96" s="3">
        <v>1.7743334803745283</v>
      </c>
      <c r="J96" s="3">
        <v>0.17</v>
      </c>
      <c r="K96" s="3">
        <v>3.27</v>
      </c>
      <c r="L96" s="3">
        <v>7.42</v>
      </c>
      <c r="M96" s="3">
        <v>3.68</v>
      </c>
      <c r="N96" s="3">
        <v>2.04</v>
      </c>
      <c r="O96" s="3">
        <v>0.36</v>
      </c>
      <c r="P96" s="3">
        <v>100.2777047749174</v>
      </c>
      <c r="Q96" s="3">
        <f t="shared" si="3"/>
        <v>1.1159668614102554</v>
      </c>
      <c r="R96" s="4">
        <v>73.454632697156896</v>
      </c>
      <c r="S96" s="4">
        <f t="shared" si="4"/>
        <v>2.7671356685009831</v>
      </c>
      <c r="T96" s="13">
        <f t="shared" si="5"/>
        <v>0.4032931504275678</v>
      </c>
    </row>
    <row r="97" spans="1:20">
      <c r="A97" s="1" t="s">
        <v>118</v>
      </c>
      <c r="B97" s="1" t="s">
        <v>97</v>
      </c>
      <c r="C97" s="2">
        <v>965</v>
      </c>
      <c r="D97" s="2">
        <v>0</v>
      </c>
      <c r="E97" s="3">
        <v>53.2</v>
      </c>
      <c r="F97" s="3">
        <v>1.1000000000000001</v>
      </c>
      <c r="G97" s="3">
        <v>19.2</v>
      </c>
      <c r="H97" s="3">
        <v>5.9038611674004438</v>
      </c>
      <c r="I97" s="3">
        <v>1.9182580846678867</v>
      </c>
      <c r="J97" s="3">
        <v>0.16</v>
      </c>
      <c r="K97" s="3">
        <v>3.66</v>
      </c>
      <c r="L97" s="3">
        <v>8.58</v>
      </c>
      <c r="M97" s="3">
        <v>4.54</v>
      </c>
      <c r="N97" s="3">
        <v>1.23</v>
      </c>
      <c r="O97" s="3">
        <v>0.64</v>
      </c>
      <c r="P97" s="3">
        <v>100.13211925206834</v>
      </c>
      <c r="Q97" s="3">
        <f t="shared" si="3"/>
        <v>1.1050944376178282</v>
      </c>
      <c r="R97" s="4">
        <v>73.207223730662491</v>
      </c>
      <c r="S97" s="4">
        <f t="shared" si="4"/>
        <v>2.7323493091846225</v>
      </c>
      <c r="T97" s="13">
        <f t="shared" si="5"/>
        <v>0.40444844804546837</v>
      </c>
    </row>
    <row r="98" spans="1:20">
      <c r="A98" s="1" t="s">
        <v>118</v>
      </c>
      <c r="B98" s="1" t="s">
        <v>98</v>
      </c>
      <c r="C98" s="2">
        <v>998</v>
      </c>
      <c r="D98" s="2">
        <v>0</v>
      </c>
      <c r="E98" s="3">
        <v>55</v>
      </c>
      <c r="F98" s="3">
        <v>1.1299999999999999</v>
      </c>
      <c r="G98" s="3">
        <v>18</v>
      </c>
      <c r="H98" s="3">
        <v>5.8093019324406496</v>
      </c>
      <c r="I98" s="3">
        <v>2.1011327624787062</v>
      </c>
      <c r="J98" s="3">
        <v>0.18</v>
      </c>
      <c r="K98" s="3">
        <v>4.42</v>
      </c>
      <c r="L98" s="3">
        <v>7.06</v>
      </c>
      <c r="M98" s="3">
        <v>4.04</v>
      </c>
      <c r="N98" s="3">
        <v>2.1800000000000002</v>
      </c>
      <c r="O98" s="3">
        <v>0.18</v>
      </c>
      <c r="P98" s="3">
        <v>100.10043469491939</v>
      </c>
      <c r="Q98" s="3">
        <f t="shared" si="3"/>
        <v>1.3562906383162026</v>
      </c>
      <c r="R98" s="4">
        <v>76.313237465572229</v>
      </c>
      <c r="S98" s="4">
        <f t="shared" si="4"/>
        <v>3.2217673206565887</v>
      </c>
      <c r="T98" s="13">
        <f t="shared" si="5"/>
        <v>0.42097721633100238</v>
      </c>
    </row>
    <row r="99" spans="1:20">
      <c r="A99" s="1" t="s">
        <v>118</v>
      </c>
      <c r="B99" s="1" t="s">
        <v>99</v>
      </c>
      <c r="C99" s="2">
        <v>965</v>
      </c>
      <c r="D99" s="2">
        <v>0</v>
      </c>
      <c r="E99" s="3">
        <v>59.1</v>
      </c>
      <c r="F99" s="3">
        <v>0.54</v>
      </c>
      <c r="G99" s="3">
        <v>19.100000000000001</v>
      </c>
      <c r="H99" s="3">
        <v>4.053401839028461</v>
      </c>
      <c r="I99" s="3">
        <v>1.296440536287671</v>
      </c>
      <c r="J99" s="3">
        <v>0.19</v>
      </c>
      <c r="K99" s="3">
        <v>3.25</v>
      </c>
      <c r="L99" s="3">
        <v>7.45</v>
      </c>
      <c r="M99" s="3">
        <v>4</v>
      </c>
      <c r="N99" s="3">
        <v>0.88</v>
      </c>
      <c r="O99" s="3">
        <v>0.31</v>
      </c>
      <c r="P99" s="3">
        <v>100.16984237531615</v>
      </c>
      <c r="Q99" s="3">
        <f t="shared" si="3"/>
        <v>1.4292827247736992</v>
      </c>
      <c r="R99" s="4">
        <v>76.832917332375146</v>
      </c>
      <c r="S99" s="4">
        <f t="shared" si="4"/>
        <v>3.316469252287269</v>
      </c>
      <c r="T99" s="13">
        <f t="shared" si="5"/>
        <v>0.4309651668828125</v>
      </c>
    </row>
    <row r="100" spans="1:20">
      <c r="A100" s="1" t="s">
        <v>119</v>
      </c>
      <c r="B100" s="1" t="s">
        <v>100</v>
      </c>
      <c r="C100" s="2">
        <v>1020</v>
      </c>
      <c r="D100" s="2">
        <v>0</v>
      </c>
      <c r="E100" s="3">
        <v>55.8</v>
      </c>
      <c r="F100" s="3">
        <v>1.49</v>
      </c>
      <c r="G100" s="3">
        <v>17.399999999999999</v>
      </c>
      <c r="H100" s="3">
        <v>6.2818041428940035</v>
      </c>
      <c r="I100" s="3">
        <v>2.1761430560018939</v>
      </c>
      <c r="J100" s="3">
        <v>0.18</v>
      </c>
      <c r="K100" s="3">
        <v>3.45</v>
      </c>
      <c r="L100" s="3">
        <v>7.71</v>
      </c>
      <c r="M100" s="3">
        <v>4.18</v>
      </c>
      <c r="N100" s="3">
        <v>1.23</v>
      </c>
      <c r="O100" s="3">
        <v>0.27</v>
      </c>
      <c r="P100" s="3">
        <v>100.16794719889589</v>
      </c>
      <c r="Q100" s="3">
        <f t="shared" si="3"/>
        <v>0.97901455215968136</v>
      </c>
      <c r="R100" s="4">
        <f>37.3/40.304/(37.3/40.304+24.2/71.846)*100</f>
        <v>73.316003561598578</v>
      </c>
      <c r="S100" s="4">
        <f t="shared" si="4"/>
        <v>2.7475645835452216</v>
      </c>
      <c r="T100" s="13">
        <f t="shared" si="5"/>
        <v>0.35632085157264803</v>
      </c>
    </row>
    <row r="101" spans="1:20">
      <c r="A101" s="1" t="s">
        <v>119</v>
      </c>
      <c r="B101" s="1" t="s">
        <v>101</v>
      </c>
      <c r="C101" s="2">
        <v>1100</v>
      </c>
      <c r="D101" s="2">
        <v>0</v>
      </c>
      <c r="E101" s="3">
        <v>48.7</v>
      </c>
      <c r="F101" s="3">
        <v>0.63</v>
      </c>
      <c r="G101" s="3">
        <v>19</v>
      </c>
      <c r="H101" s="3">
        <v>6.4665533736678178</v>
      </c>
      <c r="I101" s="3">
        <v>1.9263792358429532</v>
      </c>
      <c r="J101" s="3">
        <v>0.14000000000000001</v>
      </c>
      <c r="K101" s="3">
        <v>7.87</v>
      </c>
      <c r="L101" s="3">
        <v>12.6</v>
      </c>
      <c r="M101" s="3">
        <v>2.62</v>
      </c>
      <c r="N101" s="3">
        <v>0.1</v>
      </c>
      <c r="O101" s="3">
        <v>0.15</v>
      </c>
      <c r="P101" s="3">
        <v>100.2029326095108</v>
      </c>
      <c r="Q101" s="3">
        <f t="shared" si="3"/>
        <v>2.1694832912009834</v>
      </c>
      <c r="R101" s="4">
        <f>46.2/40.304/(46.2/40.304+13.8/71.846)*100</f>
        <v>85.648354717520959</v>
      </c>
      <c r="S101" s="4">
        <f t="shared" si="4"/>
        <v>5.967842225175624</v>
      </c>
      <c r="T101" s="13">
        <f t="shared" si="5"/>
        <v>0.36352892877243231</v>
      </c>
    </row>
    <row r="102" spans="1:20">
      <c r="A102" s="1" t="s">
        <v>119</v>
      </c>
      <c r="B102" s="1" t="s">
        <v>102</v>
      </c>
      <c r="C102" s="2">
        <v>1050</v>
      </c>
      <c r="D102" s="2">
        <v>0</v>
      </c>
      <c r="E102" s="3">
        <v>53.2</v>
      </c>
      <c r="F102" s="3">
        <v>1.18</v>
      </c>
      <c r="G102" s="3">
        <v>17.7</v>
      </c>
      <c r="H102" s="3">
        <v>6.2521352527368848</v>
      </c>
      <c r="I102" s="3">
        <v>2.0757580936334992</v>
      </c>
      <c r="J102" s="3">
        <v>0.14000000000000001</v>
      </c>
      <c r="K102" s="3">
        <v>5.03</v>
      </c>
      <c r="L102" s="3">
        <v>10</v>
      </c>
      <c r="M102" s="3">
        <v>3.53</v>
      </c>
      <c r="N102" s="3">
        <v>0.87</v>
      </c>
      <c r="O102" s="3">
        <v>0.23</v>
      </c>
      <c r="P102" s="3">
        <v>100.2078933463704</v>
      </c>
      <c r="Q102" s="3">
        <f t="shared" si="3"/>
        <v>1.4341483060991151</v>
      </c>
      <c r="R102" s="4">
        <f>41.8/40.304/(41.8/40.304+19.2/71.846)*100</f>
        <v>79.511864390983789</v>
      </c>
      <c r="S102" s="4">
        <f t="shared" si="4"/>
        <v>3.8808735898835525</v>
      </c>
      <c r="T102" s="13">
        <f t="shared" si="5"/>
        <v>0.36954264880916865</v>
      </c>
    </row>
    <row r="103" spans="1:20">
      <c r="A103" s="1" t="s">
        <v>119</v>
      </c>
      <c r="B103" s="1" t="s">
        <v>103</v>
      </c>
      <c r="C103" s="2">
        <v>1035</v>
      </c>
      <c r="D103" s="2">
        <v>0</v>
      </c>
      <c r="E103" s="3">
        <v>54.8</v>
      </c>
      <c r="F103" s="3">
        <v>1.38</v>
      </c>
      <c r="G103" s="3">
        <v>17.5</v>
      </c>
      <c r="H103" s="3">
        <v>6.1944696308332947</v>
      </c>
      <c r="I103" s="3">
        <v>2.1176158992549592</v>
      </c>
      <c r="J103" s="3">
        <v>0.17</v>
      </c>
      <c r="K103" s="3">
        <v>4.1399999999999997</v>
      </c>
      <c r="L103" s="3">
        <v>8.51</v>
      </c>
      <c r="M103" s="3">
        <v>4.01</v>
      </c>
      <c r="N103" s="3">
        <v>1.0900000000000001</v>
      </c>
      <c r="O103" s="3">
        <v>0.24</v>
      </c>
      <c r="P103" s="3">
        <v>100.15208553008827</v>
      </c>
      <c r="Q103" s="3">
        <f t="shared" si="3"/>
        <v>1.1913809645490943</v>
      </c>
      <c r="R103" s="4">
        <f>39.3/40.304/(39.3/40.304+21.8/71.846)*100</f>
        <v>76.267269915657678</v>
      </c>
      <c r="S103" s="4">
        <f t="shared" si="4"/>
        <v>3.2135902462386761</v>
      </c>
      <c r="T103" s="13">
        <f t="shared" si="5"/>
        <v>0.37073207013356407</v>
      </c>
    </row>
    <row r="104" spans="1:20">
      <c r="A104" s="1" t="s">
        <v>119</v>
      </c>
      <c r="B104" s="1" t="s">
        <v>104</v>
      </c>
      <c r="C104" s="2">
        <v>1082</v>
      </c>
      <c r="D104" s="2">
        <v>0</v>
      </c>
      <c r="E104" s="3">
        <v>51.1</v>
      </c>
      <c r="F104" s="3">
        <v>0.93</v>
      </c>
      <c r="G104" s="3">
        <v>17.5</v>
      </c>
      <c r="H104" s="3">
        <v>6.8587242055548803</v>
      </c>
      <c r="I104" s="3">
        <v>2.2795827903668617</v>
      </c>
      <c r="J104" s="3">
        <v>0.18</v>
      </c>
      <c r="K104" s="3">
        <v>6.09</v>
      </c>
      <c r="L104" s="3">
        <v>11.5</v>
      </c>
      <c r="M104" s="3">
        <v>3.53</v>
      </c>
      <c r="N104" s="3">
        <v>0.17</v>
      </c>
      <c r="O104" s="3">
        <v>0.15</v>
      </c>
      <c r="P104" s="3">
        <v>100.28830699592176</v>
      </c>
      <c r="Q104" s="3">
        <f t="shared" si="3"/>
        <v>1.5828085826681184</v>
      </c>
      <c r="R104" s="4">
        <f>41.9/40.304/(41.9/40.304+17.8/71.846)*100</f>
        <v>80.754891156310379</v>
      </c>
      <c r="S104" s="4">
        <f t="shared" si="4"/>
        <v>4.1961254577569989</v>
      </c>
      <c r="T104" s="13">
        <f t="shared" si="5"/>
        <v>0.37720716375200908</v>
      </c>
    </row>
    <row r="105" spans="1:20">
      <c r="A105" s="1" t="s">
        <v>119</v>
      </c>
      <c r="B105" s="1" t="s">
        <v>105</v>
      </c>
      <c r="C105" s="2">
        <v>1050</v>
      </c>
      <c r="D105" s="2">
        <v>0</v>
      </c>
      <c r="E105" s="3">
        <v>57.2</v>
      </c>
      <c r="F105" s="3">
        <v>0.94</v>
      </c>
      <c r="G105" s="3">
        <v>17.5</v>
      </c>
      <c r="H105" s="3">
        <v>5.2597358613860905</v>
      </c>
      <c r="I105" s="3">
        <v>1.7228085372416371</v>
      </c>
      <c r="J105" s="3">
        <v>0.11</v>
      </c>
      <c r="K105" s="3">
        <v>4.26</v>
      </c>
      <c r="L105" s="3">
        <v>7.86</v>
      </c>
      <c r="M105" s="3">
        <v>3.8</v>
      </c>
      <c r="N105" s="3">
        <v>1.3</v>
      </c>
      <c r="O105" s="3">
        <v>0.22</v>
      </c>
      <c r="P105" s="3">
        <v>100.17254439862772</v>
      </c>
      <c r="Q105" s="3">
        <f t="shared" si="3"/>
        <v>1.443776963435492</v>
      </c>
      <c r="R105" s="4">
        <f>40.2/40.304/(40.2/40.304+20.2/71.846)*100</f>
        <v>78.010161113887122</v>
      </c>
      <c r="S105" s="4">
        <f t="shared" si="4"/>
        <v>3.5475549192473825</v>
      </c>
      <c r="T105" s="13">
        <f t="shared" si="5"/>
        <v>0.40697804439960322</v>
      </c>
    </row>
    <row r="106" spans="1:20">
      <c r="A106" s="1" t="s">
        <v>120</v>
      </c>
      <c r="B106" s="1">
        <v>12</v>
      </c>
      <c r="C106" s="2">
        <v>1050</v>
      </c>
      <c r="D106" s="2">
        <v>0</v>
      </c>
      <c r="E106" s="3">
        <v>52.3</v>
      </c>
      <c r="F106" s="3">
        <v>1.1200000000000001</v>
      </c>
      <c r="G106" s="3">
        <v>18.100000000000001</v>
      </c>
      <c r="H106" s="3">
        <v>7.3587786505375963</v>
      </c>
      <c r="I106" s="3">
        <v>2.0461492856575685</v>
      </c>
      <c r="J106" s="3">
        <v>0.14000000000000001</v>
      </c>
      <c r="K106" s="3">
        <v>5.31</v>
      </c>
      <c r="L106" s="3">
        <v>9.4</v>
      </c>
      <c r="M106" s="3">
        <v>0.48</v>
      </c>
      <c r="N106" s="3">
        <v>3.7</v>
      </c>
      <c r="O106" s="3">
        <v>0.24</v>
      </c>
      <c r="P106" s="3">
        <f t="shared" ref="P106:P112" si="6">SUM(E106:O106)</f>
        <v>100.19492793619517</v>
      </c>
      <c r="Q106" s="3">
        <f t="shared" si="3"/>
        <v>1.2863028301568611</v>
      </c>
      <c r="R106" s="4">
        <v>79.09961842937912</v>
      </c>
      <c r="S106" s="4">
        <f t="shared" si="4"/>
        <v>3.7846016428985862</v>
      </c>
      <c r="T106" s="13">
        <f t="shared" si="5"/>
        <v>0.33987799814294206</v>
      </c>
    </row>
    <row r="107" spans="1:20">
      <c r="A107" s="1" t="s">
        <v>120</v>
      </c>
      <c r="B107" s="1">
        <v>2</v>
      </c>
      <c r="C107" s="2">
        <v>1015</v>
      </c>
      <c r="D107" s="2">
        <v>0</v>
      </c>
      <c r="E107" s="3">
        <v>54.6</v>
      </c>
      <c r="F107" s="3">
        <v>1.58</v>
      </c>
      <c r="G107" s="3">
        <v>17.2</v>
      </c>
      <c r="H107" s="3">
        <v>7.3919335424722536</v>
      </c>
      <c r="I107" s="3">
        <v>2.2315642542505847</v>
      </c>
      <c r="J107" s="3">
        <v>0.19</v>
      </c>
      <c r="K107" s="3">
        <v>3.7</v>
      </c>
      <c r="L107" s="3">
        <v>7.9</v>
      </c>
      <c r="M107" s="3">
        <v>0.72</v>
      </c>
      <c r="N107" s="3">
        <v>4.4000000000000004</v>
      </c>
      <c r="O107" s="3">
        <v>0.28999999999999998</v>
      </c>
      <c r="P107" s="3">
        <f t="shared" si="6"/>
        <v>100.20349779672286</v>
      </c>
      <c r="Q107" s="3">
        <f t="shared" si="3"/>
        <v>0.89227374510193158</v>
      </c>
      <c r="R107" s="4">
        <v>71.460914748209746</v>
      </c>
      <c r="S107" s="4">
        <f t="shared" si="4"/>
        <v>2.5039665468509371</v>
      </c>
      <c r="T107" s="13">
        <f t="shared" si="5"/>
        <v>0.35634411578864006</v>
      </c>
    </row>
    <row r="108" spans="1:20">
      <c r="A108" s="1" t="s">
        <v>120</v>
      </c>
      <c r="B108" s="1">
        <v>15</v>
      </c>
      <c r="C108" s="2">
        <v>1075</v>
      </c>
      <c r="D108" s="2">
        <v>0</v>
      </c>
      <c r="E108" s="3">
        <v>51.8</v>
      </c>
      <c r="F108" s="3">
        <v>1.08</v>
      </c>
      <c r="G108" s="3">
        <v>17.8</v>
      </c>
      <c r="H108" s="3">
        <v>7.264613524532308</v>
      </c>
      <c r="I108" s="3">
        <v>2.0396649901872457</v>
      </c>
      <c r="J108" s="3">
        <v>0.18</v>
      </c>
      <c r="K108" s="3">
        <v>5.8</v>
      </c>
      <c r="L108" s="3">
        <v>9.6999999999999993</v>
      </c>
      <c r="M108" s="3">
        <v>0.51</v>
      </c>
      <c r="N108" s="3">
        <v>3.8</v>
      </c>
      <c r="O108" s="3">
        <v>0.23</v>
      </c>
      <c r="P108" s="3">
        <f t="shared" si="6"/>
        <v>100.20427851471956</v>
      </c>
      <c r="Q108" s="3">
        <f t="shared" si="3"/>
        <v>1.4232130668879848</v>
      </c>
      <c r="R108" s="4">
        <v>79.72853672747317</v>
      </c>
      <c r="S108" s="4">
        <f t="shared" si="4"/>
        <v>3.933043000182741</v>
      </c>
      <c r="T108" s="13">
        <f t="shared" si="5"/>
        <v>0.36186054076242186</v>
      </c>
    </row>
    <row r="109" spans="1:20">
      <c r="A109" s="1" t="s">
        <v>120</v>
      </c>
      <c r="B109" s="1">
        <v>14</v>
      </c>
      <c r="C109" s="2">
        <v>1045</v>
      </c>
      <c r="D109" s="2">
        <v>0</v>
      </c>
      <c r="E109" s="3">
        <v>53.5</v>
      </c>
      <c r="F109" s="3">
        <v>1.19</v>
      </c>
      <c r="G109" s="3">
        <v>17.899999999999999</v>
      </c>
      <c r="H109" s="3">
        <v>6.7801247152938142</v>
      </c>
      <c r="I109" s="3">
        <v>1.9112974038939843</v>
      </c>
      <c r="J109" s="3">
        <v>0.18</v>
      </c>
      <c r="K109" s="3">
        <v>4.8600000000000003</v>
      </c>
      <c r="L109" s="3">
        <v>9.1999999999999993</v>
      </c>
      <c r="M109" s="3">
        <v>0.54</v>
      </c>
      <c r="N109" s="3">
        <v>3.8</v>
      </c>
      <c r="O109" s="3">
        <v>0.24</v>
      </c>
      <c r="P109" s="3">
        <f t="shared" si="6"/>
        <v>100.1014221191878</v>
      </c>
      <c r="Q109" s="3">
        <f t="shared" si="3"/>
        <v>1.2777710098378314</v>
      </c>
      <c r="R109" s="4">
        <v>77.882457587132848</v>
      </c>
      <c r="S109" s="4">
        <f t="shared" si="4"/>
        <v>3.5212979875116583</v>
      </c>
      <c r="T109" s="13">
        <f t="shared" si="5"/>
        <v>0.36286932102010894</v>
      </c>
    </row>
    <row r="110" spans="1:20">
      <c r="A110" s="1" t="s">
        <v>120</v>
      </c>
      <c r="B110" s="1">
        <v>1</v>
      </c>
      <c r="C110" s="2">
        <v>1000</v>
      </c>
      <c r="D110" s="2">
        <v>0</v>
      </c>
      <c r="E110" s="3">
        <v>56</v>
      </c>
      <c r="F110" s="3">
        <v>1.58</v>
      </c>
      <c r="G110" s="3">
        <v>17.100000000000001</v>
      </c>
      <c r="H110" s="3">
        <v>6.9959734483365876</v>
      </c>
      <c r="I110" s="3">
        <v>2.1159447068635506</v>
      </c>
      <c r="J110" s="3">
        <v>0.15</v>
      </c>
      <c r="K110" s="3">
        <v>3.3</v>
      </c>
      <c r="L110" s="3">
        <v>7.3</v>
      </c>
      <c r="M110" s="3">
        <v>0.8</v>
      </c>
      <c r="N110" s="3">
        <v>4.5999999999999996</v>
      </c>
      <c r="O110" s="3">
        <v>0.28000000000000003</v>
      </c>
      <c r="P110" s="3">
        <f t="shared" si="6"/>
        <v>100.22191815520013</v>
      </c>
      <c r="Q110" s="3">
        <f t="shared" si="3"/>
        <v>0.84085329649774865</v>
      </c>
      <c r="R110" s="4">
        <v>69.819982344613905</v>
      </c>
      <c r="S110" s="4">
        <f t="shared" si="4"/>
        <v>2.3134506792494682</v>
      </c>
      <c r="T110" s="13">
        <f t="shared" si="5"/>
        <v>0.36346281510982503</v>
      </c>
    </row>
    <row r="111" spans="1:20">
      <c r="A111" s="1" t="s">
        <v>120</v>
      </c>
      <c r="B111" s="1">
        <v>13</v>
      </c>
      <c r="C111" s="2">
        <v>1035</v>
      </c>
      <c r="D111" s="2">
        <v>0</v>
      </c>
      <c r="E111" s="3">
        <v>53.9</v>
      </c>
      <c r="F111" s="3">
        <v>1.21</v>
      </c>
      <c r="G111" s="3">
        <v>17.600000000000001</v>
      </c>
      <c r="H111" s="3">
        <v>6.7985102644938085</v>
      </c>
      <c r="I111" s="3">
        <v>2.0019955430680301</v>
      </c>
      <c r="J111" s="3">
        <v>0.08</v>
      </c>
      <c r="K111" s="3">
        <v>4.63</v>
      </c>
      <c r="L111" s="3">
        <v>9</v>
      </c>
      <c r="M111" s="3">
        <v>0.6</v>
      </c>
      <c r="N111" s="3">
        <v>4.0999999999999996</v>
      </c>
      <c r="O111" s="3">
        <v>0.22</v>
      </c>
      <c r="P111" s="3">
        <f t="shared" si="6"/>
        <v>100.14050580756184</v>
      </c>
      <c r="Q111" s="3">
        <f t="shared" si="3"/>
        <v>1.2140083594604858</v>
      </c>
      <c r="R111" s="4">
        <v>76.441924606448609</v>
      </c>
      <c r="S111" s="4">
        <f t="shared" si="4"/>
        <v>3.2448289314573313</v>
      </c>
      <c r="T111" s="13">
        <f t="shared" si="5"/>
        <v>0.37413632123750978</v>
      </c>
    </row>
    <row r="112" spans="1:20">
      <c r="A112" s="1" t="s">
        <v>120</v>
      </c>
      <c r="B112" s="1">
        <v>8</v>
      </c>
      <c r="C112" s="2">
        <v>985</v>
      </c>
      <c r="D112" s="2">
        <v>0</v>
      </c>
      <c r="E112" s="3">
        <v>55.9</v>
      </c>
      <c r="F112" s="3">
        <v>1.64</v>
      </c>
      <c r="G112" s="3">
        <v>17.100000000000001</v>
      </c>
      <c r="H112" s="3">
        <v>6.9923559415220247</v>
      </c>
      <c r="I112" s="3">
        <v>2.1199648421865742</v>
      </c>
      <c r="J112" s="3">
        <v>0.2</v>
      </c>
      <c r="K112" s="3">
        <v>3.12</v>
      </c>
      <c r="L112" s="3">
        <v>7</v>
      </c>
      <c r="M112" s="3">
        <v>0.87</v>
      </c>
      <c r="N112" s="3">
        <v>4.9000000000000004</v>
      </c>
      <c r="O112" s="3">
        <v>0.32</v>
      </c>
      <c r="P112" s="3">
        <f t="shared" si="6"/>
        <v>100.16232078370861</v>
      </c>
      <c r="Q112" s="3">
        <f t="shared" si="3"/>
        <v>0.79539985987543005</v>
      </c>
      <c r="R112" s="4">
        <v>67.256077673771927</v>
      </c>
      <c r="S112" s="4">
        <f t="shared" si="4"/>
        <v>2.054001869528606</v>
      </c>
      <c r="T112" s="13">
        <f t="shared" si="5"/>
        <v>0.38724398048282915</v>
      </c>
    </row>
    <row r="114" spans="1:20">
      <c r="A114" s="7" t="s">
        <v>130</v>
      </c>
    </row>
    <row r="121" spans="1:20">
      <c r="S121" s="6" t="s">
        <v>106</v>
      </c>
      <c r="T121" s="15">
        <f>AVERAGE(T5:T112)</f>
        <v>0.37216584405814396</v>
      </c>
    </row>
    <row r="122" spans="1:20">
      <c r="S122" s="6" t="s">
        <v>107</v>
      </c>
      <c r="T122" s="15">
        <f>STDEV(T5:T112)</f>
        <v>4.1201198764694094E-2</v>
      </c>
    </row>
    <row r="124" spans="1:20">
      <c r="T124" s="15"/>
    </row>
  </sheetData>
  <mergeCells count="2">
    <mergeCell ref="E3:P3"/>
    <mergeCell ref="R3:R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Editorial Assistant</cp:lastModifiedBy>
  <dcterms:created xsi:type="dcterms:W3CDTF">2016-11-02T19:35:22Z</dcterms:created>
  <dcterms:modified xsi:type="dcterms:W3CDTF">2017-02-01T20:18:14Z</dcterms:modified>
</cp:coreProperties>
</file>